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H:\My Documents\4th Year\ENGR 495\Spreadsheets\"/>
    </mc:Choice>
  </mc:AlternateContent>
  <xr:revisionPtr revIDLastSave="0" documentId="13_ncr:1_{675BF06A-E831-4550-9D8D-F9C5FF7D68FC}" xr6:coauthVersionLast="36" xr6:coauthVersionMax="36" xr10:uidLastSave="{00000000-0000-0000-0000-000000000000}"/>
  <bookViews>
    <workbookView xWindow="0" yWindow="0" windowWidth="15345" windowHeight="4470" firstSheet="1" activeTab="5" xr2:uid="{00000000-000D-0000-FFFF-FFFF00000000}"/>
  </bookViews>
  <sheets>
    <sheet name="Liquid Stream As Input" sheetId="2" r:id="rId1"/>
    <sheet name="Organic Nitrogen" sheetId="1" r:id="rId2"/>
    <sheet name="Soluble Nitrogen" sheetId="3" r:id="rId3"/>
    <sheet name="Soluble Carbon" sheetId="5" r:id="rId4"/>
    <sheet name="Soluble K" sheetId="6" r:id="rId5"/>
    <sheet name="Soluble P" sheetId="8" r:id="rId6"/>
    <sheet name="Soluble Mg" sheetId="11" r:id="rId7"/>
    <sheet name="Soluble Ca" sheetId="12" r:id="rId8"/>
    <sheet name="Soluble S" sheetId="13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37" i="13" l="1"/>
  <c r="O37" i="1"/>
  <c r="O37" i="13" l="1"/>
  <c r="P36" i="13"/>
  <c r="P38" i="13" s="1"/>
  <c r="P34" i="13" s="1"/>
  <c r="O36" i="13"/>
  <c r="P37" i="12"/>
  <c r="O37" i="12"/>
  <c r="P36" i="12"/>
  <c r="O36" i="12"/>
  <c r="P37" i="11"/>
  <c r="O37" i="11"/>
  <c r="P36" i="11"/>
  <c r="O36" i="11"/>
  <c r="P37" i="8"/>
  <c r="O37" i="8"/>
  <c r="P36" i="8"/>
  <c r="O36" i="8"/>
  <c r="P37" i="6"/>
  <c r="O37" i="6"/>
  <c r="P36" i="6"/>
  <c r="O36" i="6"/>
  <c r="P37" i="5"/>
  <c r="O37" i="5"/>
  <c r="P36" i="5"/>
  <c r="O36" i="5"/>
  <c r="P37" i="3"/>
  <c r="O37" i="3"/>
  <c r="P36" i="3"/>
  <c r="O36" i="3"/>
  <c r="O36" i="1"/>
  <c r="P37" i="1"/>
  <c r="O38" i="5" l="1"/>
  <c r="O34" i="5" s="1"/>
  <c r="O38" i="6"/>
  <c r="O34" i="6" s="1"/>
  <c r="O38" i="8"/>
  <c r="O34" i="8" s="1"/>
  <c r="O38" i="13"/>
  <c r="O34" i="13" s="1"/>
  <c r="P38" i="3"/>
  <c r="P34" i="3" s="1"/>
  <c r="P38" i="5"/>
  <c r="P34" i="5" s="1"/>
  <c r="P38" i="6"/>
  <c r="P38" i="8"/>
  <c r="P38" i="12"/>
  <c r="P34" i="12" s="1"/>
  <c r="O38" i="12"/>
  <c r="O34" i="12" s="1"/>
  <c r="O38" i="11"/>
  <c r="O34" i="11" s="1"/>
  <c r="P38" i="11"/>
  <c r="P34" i="11" s="1"/>
  <c r="O38" i="3"/>
  <c r="O34" i="3" s="1"/>
  <c r="P36" i="1"/>
  <c r="O38" i="1"/>
  <c r="O34" i="1" s="1"/>
  <c r="Q38" i="12" l="1"/>
  <c r="Q38" i="6"/>
  <c r="P34" i="6"/>
  <c r="Q38" i="8"/>
  <c r="P34" i="8"/>
  <c r="Q38" i="5"/>
  <c r="Q38" i="13"/>
  <c r="Q38" i="11"/>
  <c r="Q38" i="3"/>
  <c r="P38" i="1"/>
  <c r="P34" i="1" s="1"/>
  <c r="Q38" i="1" l="1"/>
  <c r="J63" i="13" l="1"/>
  <c r="K63" i="13" s="1"/>
  <c r="J70" i="13"/>
  <c r="K70" i="13" s="1"/>
  <c r="J84" i="13"/>
  <c r="K84" i="13" s="1"/>
  <c r="J47" i="13"/>
  <c r="K47" i="13" s="1"/>
  <c r="J48" i="13"/>
  <c r="K48" i="13" s="1"/>
  <c r="K143" i="13"/>
  <c r="K142" i="13"/>
  <c r="I142" i="13"/>
  <c r="I143" i="13" s="1"/>
  <c r="K141" i="13"/>
  <c r="I141" i="13"/>
  <c r="K140" i="13"/>
  <c r="I139" i="13"/>
  <c r="J139" i="13" s="1"/>
  <c r="K139" i="13" s="1"/>
  <c r="K138" i="13"/>
  <c r="K137" i="13"/>
  <c r="K136" i="13"/>
  <c r="K135" i="13"/>
  <c r="I135" i="13"/>
  <c r="I137" i="13" s="1"/>
  <c r="K133" i="13"/>
  <c r="I133" i="13"/>
  <c r="K132" i="13"/>
  <c r="I132" i="13"/>
  <c r="K130" i="13"/>
  <c r="K129" i="13"/>
  <c r="K126" i="13"/>
  <c r="I126" i="13"/>
  <c r="I130" i="13" s="1"/>
  <c r="I120" i="13"/>
  <c r="K120" i="13" s="1"/>
  <c r="K119" i="13"/>
  <c r="I119" i="13"/>
  <c r="I118" i="13"/>
  <c r="J118" i="13" s="1"/>
  <c r="K118" i="13" s="1"/>
  <c r="K117" i="13"/>
  <c r="I117" i="13"/>
  <c r="K116" i="13"/>
  <c r="I116" i="13"/>
  <c r="K115" i="13"/>
  <c r="I115" i="13"/>
  <c r="K114" i="13"/>
  <c r="K112" i="13"/>
  <c r="K111" i="13"/>
  <c r="K110" i="13"/>
  <c r="K109" i="13"/>
  <c r="K108" i="13"/>
  <c r="K107" i="13"/>
  <c r="K106" i="13"/>
  <c r="K105" i="13"/>
  <c r="K104" i="13"/>
  <c r="I104" i="13"/>
  <c r="I105" i="13" s="1"/>
  <c r="K103" i="13"/>
  <c r="I103" i="13"/>
  <c r="I114" i="13" s="1"/>
  <c r="I102" i="13"/>
  <c r="I113" i="13" s="1"/>
  <c r="J113" i="13" s="1"/>
  <c r="K113" i="13" s="1"/>
  <c r="K101" i="13"/>
  <c r="I101" i="13"/>
  <c r="I112" i="13" s="1"/>
  <c r="K100" i="13"/>
  <c r="I100" i="13"/>
  <c r="I106" i="13" s="1"/>
  <c r="K99" i="13"/>
  <c r="I99" i="13"/>
  <c r="I109" i="13" s="1"/>
  <c r="K98" i="13"/>
  <c r="I98" i="13"/>
  <c r="K97" i="13"/>
  <c r="I97" i="13"/>
  <c r="I108" i="13" s="1"/>
  <c r="K96" i="13"/>
  <c r="I96" i="13"/>
  <c r="K95" i="13"/>
  <c r="I95" i="13"/>
  <c r="K94" i="13"/>
  <c r="I94" i="13"/>
  <c r="K93" i="13"/>
  <c r="I93" i="13"/>
  <c r="K92" i="13"/>
  <c r="I92" i="13"/>
  <c r="K91" i="13"/>
  <c r="I91" i="13"/>
  <c r="K90" i="13"/>
  <c r="I90" i="13"/>
  <c r="K89" i="13"/>
  <c r="I89" i="13"/>
  <c r="K88" i="13"/>
  <c r="I88" i="13"/>
  <c r="K87" i="13"/>
  <c r="K86" i="13"/>
  <c r="I85" i="13"/>
  <c r="J85" i="13" s="1"/>
  <c r="K85" i="13" s="1"/>
  <c r="K83" i="13"/>
  <c r="K82" i="13"/>
  <c r="K81" i="13"/>
  <c r="K80" i="13"/>
  <c r="K79" i="13"/>
  <c r="K78" i="13"/>
  <c r="K77" i="13"/>
  <c r="K76" i="13"/>
  <c r="K75" i="13"/>
  <c r="K74" i="13"/>
  <c r="K73" i="13"/>
  <c r="K72" i="13"/>
  <c r="K71" i="13"/>
  <c r="K69" i="13"/>
  <c r="K68" i="13"/>
  <c r="K67" i="13"/>
  <c r="K66" i="13"/>
  <c r="K65" i="13"/>
  <c r="K64" i="13"/>
  <c r="K62" i="13"/>
  <c r="K61" i="13"/>
  <c r="K60" i="13"/>
  <c r="K59" i="13"/>
  <c r="K58" i="13"/>
  <c r="K57" i="13"/>
  <c r="K56" i="13"/>
  <c r="K55" i="13"/>
  <c r="K54" i="13"/>
  <c r="K53" i="13"/>
  <c r="K52" i="13"/>
  <c r="K51" i="13"/>
  <c r="K50" i="13"/>
  <c r="K49" i="13"/>
  <c r="K46" i="13"/>
  <c r="K45" i="13"/>
  <c r="K44" i="13"/>
  <c r="K43" i="13"/>
  <c r="K42" i="13"/>
  <c r="K41" i="13"/>
  <c r="K40" i="13"/>
  <c r="K39" i="13"/>
  <c r="K38" i="13"/>
  <c r="K37" i="13"/>
  <c r="K36" i="13"/>
  <c r="K35" i="13"/>
  <c r="K34" i="13"/>
  <c r="K33" i="13"/>
  <c r="K32" i="13"/>
  <c r="K31" i="13"/>
  <c r="K30" i="13"/>
  <c r="K29" i="13"/>
  <c r="K28" i="13"/>
  <c r="K27" i="13"/>
  <c r="I142" i="12"/>
  <c r="J142" i="12" s="1"/>
  <c r="K142" i="12" s="1"/>
  <c r="I141" i="12"/>
  <c r="J141" i="12" s="1"/>
  <c r="K141" i="12" s="1"/>
  <c r="K140" i="12"/>
  <c r="K139" i="12"/>
  <c r="I139" i="12"/>
  <c r="K138" i="12"/>
  <c r="K137" i="12"/>
  <c r="K136" i="12"/>
  <c r="K135" i="12"/>
  <c r="I135" i="12"/>
  <c r="I137" i="12" s="1"/>
  <c r="K133" i="12"/>
  <c r="I133" i="12"/>
  <c r="K132" i="12"/>
  <c r="I132" i="12"/>
  <c r="K130" i="12"/>
  <c r="K129" i="12"/>
  <c r="K126" i="12"/>
  <c r="I126" i="12"/>
  <c r="I130" i="12" s="1"/>
  <c r="K121" i="12"/>
  <c r="K120" i="12"/>
  <c r="I120" i="12"/>
  <c r="I121" i="12" s="1"/>
  <c r="I122" i="12" s="1"/>
  <c r="K119" i="12"/>
  <c r="I119" i="12"/>
  <c r="K118" i="12"/>
  <c r="I118" i="12"/>
  <c r="K117" i="12"/>
  <c r="I117" i="12"/>
  <c r="K116" i="12"/>
  <c r="I116" i="12"/>
  <c r="K115" i="12"/>
  <c r="I115" i="12"/>
  <c r="K114" i="12"/>
  <c r="K113" i="12"/>
  <c r="K112" i="12"/>
  <c r="K111" i="12"/>
  <c r="K110" i="12"/>
  <c r="K109" i="12"/>
  <c r="K108" i="12"/>
  <c r="K107" i="12"/>
  <c r="K106" i="12"/>
  <c r="K105" i="12"/>
  <c r="K104" i="12"/>
  <c r="I104" i="12"/>
  <c r="I105" i="12" s="1"/>
  <c r="K103" i="12"/>
  <c r="I103" i="12"/>
  <c r="I114" i="12" s="1"/>
  <c r="K102" i="12"/>
  <c r="I102" i="12"/>
  <c r="I113" i="12" s="1"/>
  <c r="K101" i="12"/>
  <c r="I101" i="12"/>
  <c r="I112" i="12" s="1"/>
  <c r="K100" i="12"/>
  <c r="I100" i="12"/>
  <c r="I106" i="12" s="1"/>
  <c r="K99" i="12"/>
  <c r="I99" i="12"/>
  <c r="I109" i="12" s="1"/>
  <c r="K98" i="12"/>
  <c r="I98" i="12"/>
  <c r="K97" i="12"/>
  <c r="I97" i="12"/>
  <c r="I108" i="12" s="1"/>
  <c r="K96" i="12"/>
  <c r="I96" i="12"/>
  <c r="K95" i="12"/>
  <c r="I95" i="12"/>
  <c r="K94" i="12"/>
  <c r="I94" i="12"/>
  <c r="K93" i="12"/>
  <c r="I93" i="12"/>
  <c r="K92" i="12"/>
  <c r="I92" i="12"/>
  <c r="K91" i="12"/>
  <c r="I91" i="12"/>
  <c r="K90" i="12"/>
  <c r="I90" i="12"/>
  <c r="K89" i="12"/>
  <c r="I89" i="12"/>
  <c r="K88" i="12"/>
  <c r="I88" i="12"/>
  <c r="K87" i="12"/>
  <c r="K86" i="12"/>
  <c r="K85" i="12"/>
  <c r="I85" i="12"/>
  <c r="K84" i="12"/>
  <c r="K83" i="12"/>
  <c r="K82" i="12"/>
  <c r="K81" i="12"/>
  <c r="K80" i="12"/>
  <c r="K79" i="12"/>
  <c r="K78" i="12"/>
  <c r="K77" i="12"/>
  <c r="K76" i="12"/>
  <c r="K75" i="12"/>
  <c r="K74" i="12"/>
  <c r="K73" i="12"/>
  <c r="K72" i="12"/>
  <c r="K71" i="12"/>
  <c r="K70" i="12"/>
  <c r="K69" i="12"/>
  <c r="K68" i="12"/>
  <c r="K67" i="12"/>
  <c r="K66" i="12"/>
  <c r="K65" i="12"/>
  <c r="K64" i="12"/>
  <c r="K63" i="12"/>
  <c r="K62" i="12"/>
  <c r="K61" i="12"/>
  <c r="K60" i="12"/>
  <c r="K59" i="12"/>
  <c r="K58" i="12"/>
  <c r="K57" i="12"/>
  <c r="K56" i="12"/>
  <c r="K55" i="12"/>
  <c r="K54" i="12"/>
  <c r="K53" i="12"/>
  <c r="K52" i="12"/>
  <c r="K51" i="12"/>
  <c r="K50" i="12"/>
  <c r="K49" i="12"/>
  <c r="K48" i="12"/>
  <c r="K47" i="12"/>
  <c r="K46" i="12"/>
  <c r="K45" i="12"/>
  <c r="K44" i="12"/>
  <c r="K43" i="12"/>
  <c r="K42" i="12"/>
  <c r="K41" i="12"/>
  <c r="K40" i="12"/>
  <c r="K39" i="12"/>
  <c r="K38" i="12"/>
  <c r="K37" i="12"/>
  <c r="K36" i="12"/>
  <c r="K35" i="12"/>
  <c r="K34" i="12"/>
  <c r="K33" i="12"/>
  <c r="K32" i="12"/>
  <c r="K31" i="12"/>
  <c r="K30" i="12"/>
  <c r="K29" i="12"/>
  <c r="K28" i="12"/>
  <c r="K27" i="12"/>
  <c r="K143" i="11"/>
  <c r="K142" i="11"/>
  <c r="I142" i="11"/>
  <c r="I143" i="11" s="1"/>
  <c r="K141" i="11"/>
  <c r="I141" i="11"/>
  <c r="K140" i="11"/>
  <c r="K139" i="11"/>
  <c r="I139" i="11"/>
  <c r="K138" i="11"/>
  <c r="K137" i="11"/>
  <c r="K136" i="11"/>
  <c r="K135" i="11"/>
  <c r="I135" i="11"/>
  <c r="I136" i="11" s="1"/>
  <c r="I133" i="11"/>
  <c r="J133" i="11" s="1"/>
  <c r="K133" i="11" s="1"/>
  <c r="I132" i="11"/>
  <c r="J132" i="11" s="1"/>
  <c r="K132" i="11" s="1"/>
  <c r="K130" i="11"/>
  <c r="K129" i="11"/>
  <c r="I126" i="11"/>
  <c r="I120" i="11"/>
  <c r="K120" i="11" s="1"/>
  <c r="K119" i="11"/>
  <c r="I119" i="11"/>
  <c r="K118" i="11"/>
  <c r="I118" i="11"/>
  <c r="K117" i="11"/>
  <c r="I117" i="11"/>
  <c r="K116" i="11"/>
  <c r="I116" i="11"/>
  <c r="K115" i="11"/>
  <c r="I115" i="11"/>
  <c r="K114" i="11"/>
  <c r="K113" i="11"/>
  <c r="K112" i="11"/>
  <c r="K111" i="11"/>
  <c r="K110" i="11"/>
  <c r="K109" i="11"/>
  <c r="K108" i="11"/>
  <c r="K107" i="11"/>
  <c r="K106" i="11"/>
  <c r="K105" i="11"/>
  <c r="K104" i="11"/>
  <c r="I104" i="11"/>
  <c r="I105" i="11" s="1"/>
  <c r="K103" i="11"/>
  <c r="I103" i="11"/>
  <c r="I114" i="11" s="1"/>
  <c r="K102" i="11"/>
  <c r="I102" i="11"/>
  <c r="I113" i="11" s="1"/>
  <c r="K101" i="11"/>
  <c r="I101" i="11"/>
  <c r="I112" i="11" s="1"/>
  <c r="K100" i="11"/>
  <c r="I100" i="11"/>
  <c r="I106" i="11" s="1"/>
  <c r="K99" i="11"/>
  <c r="I99" i="11"/>
  <c r="I111" i="11" s="1"/>
  <c r="K98" i="11"/>
  <c r="I98" i="11"/>
  <c r="K97" i="11"/>
  <c r="I97" i="11"/>
  <c r="I108" i="11" s="1"/>
  <c r="K96" i="11"/>
  <c r="I96" i="11"/>
  <c r="K95" i="11"/>
  <c r="I95" i="11"/>
  <c r="K94" i="11"/>
  <c r="I94" i="11"/>
  <c r="K93" i="11"/>
  <c r="I93" i="11"/>
  <c r="K92" i="11"/>
  <c r="I92" i="11"/>
  <c r="K91" i="11"/>
  <c r="I91" i="11"/>
  <c r="K90" i="11"/>
  <c r="I90" i="11"/>
  <c r="K89" i="11"/>
  <c r="I89" i="11"/>
  <c r="K88" i="11"/>
  <c r="I88" i="11"/>
  <c r="K87" i="11"/>
  <c r="K86" i="11"/>
  <c r="K85" i="11"/>
  <c r="I85" i="11"/>
  <c r="K84" i="11"/>
  <c r="K83" i="11"/>
  <c r="K82" i="11"/>
  <c r="K81" i="11"/>
  <c r="K80" i="11"/>
  <c r="K79" i="11"/>
  <c r="K78" i="11"/>
  <c r="K77" i="11"/>
  <c r="K76" i="11"/>
  <c r="K75" i="11"/>
  <c r="K74" i="11"/>
  <c r="K73" i="11"/>
  <c r="K72" i="11"/>
  <c r="K71" i="11"/>
  <c r="K70" i="11"/>
  <c r="K69" i="11"/>
  <c r="K68" i="11"/>
  <c r="K67" i="11"/>
  <c r="K66" i="11"/>
  <c r="K65" i="11"/>
  <c r="K64" i="11"/>
  <c r="K63" i="11"/>
  <c r="K62" i="11"/>
  <c r="K61" i="11"/>
  <c r="K60" i="11"/>
  <c r="K59" i="11"/>
  <c r="K58" i="11"/>
  <c r="K57" i="11"/>
  <c r="K56" i="11"/>
  <c r="K55" i="11"/>
  <c r="K54" i="11"/>
  <c r="K53" i="11"/>
  <c r="K52" i="11"/>
  <c r="K51" i="11"/>
  <c r="K50" i="11"/>
  <c r="K49" i="11"/>
  <c r="K48" i="11"/>
  <c r="K47" i="11"/>
  <c r="K46" i="1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J86" i="5"/>
  <c r="K86" i="5" s="1"/>
  <c r="J84" i="5"/>
  <c r="K84" i="5" s="1"/>
  <c r="J83" i="5"/>
  <c r="K83" i="5" s="1"/>
  <c r="J81" i="5"/>
  <c r="K81" i="5" s="1"/>
  <c r="J80" i="5"/>
  <c r="J79" i="5"/>
  <c r="K79" i="5" s="1"/>
  <c r="J78" i="5"/>
  <c r="K78" i="5" s="1"/>
  <c r="J77" i="5"/>
  <c r="J76" i="5"/>
  <c r="K76" i="5" s="1"/>
  <c r="J75" i="5"/>
  <c r="K75" i="5" s="1"/>
  <c r="J74" i="5"/>
  <c r="K74" i="5" s="1"/>
  <c r="J73" i="5"/>
  <c r="K73" i="5" s="1"/>
  <c r="K80" i="5"/>
  <c r="J82" i="5"/>
  <c r="K82" i="5" s="1"/>
  <c r="J72" i="5"/>
  <c r="K72" i="5" s="1"/>
  <c r="J71" i="5"/>
  <c r="K71" i="5" s="1"/>
  <c r="J68" i="5"/>
  <c r="K68" i="5" s="1"/>
  <c r="J69" i="5"/>
  <c r="K69" i="5" s="1"/>
  <c r="J67" i="5"/>
  <c r="K67" i="5" s="1"/>
  <c r="J66" i="5"/>
  <c r="K66" i="5" s="1"/>
  <c r="J65" i="5"/>
  <c r="J64" i="5"/>
  <c r="K64" i="5" s="1"/>
  <c r="J62" i="5"/>
  <c r="K62" i="5" s="1"/>
  <c r="J61" i="5"/>
  <c r="J60" i="5"/>
  <c r="K60" i="5" s="1"/>
  <c r="J57" i="5"/>
  <c r="K57" i="5" s="1"/>
  <c r="J56" i="5"/>
  <c r="K56" i="5" s="1"/>
  <c r="J55" i="5"/>
  <c r="K55" i="5" s="1"/>
  <c r="J52" i="5"/>
  <c r="J51" i="5"/>
  <c r="K51" i="5" s="1"/>
  <c r="J50" i="5"/>
  <c r="K50" i="5" s="1"/>
  <c r="J49" i="5"/>
  <c r="J48" i="5"/>
  <c r="K48" i="5" s="1"/>
  <c r="J47" i="5"/>
  <c r="K47" i="5" s="1"/>
  <c r="J46" i="5"/>
  <c r="K46" i="5" s="1"/>
  <c r="J45" i="5"/>
  <c r="K45" i="5" s="1"/>
  <c r="J44" i="5"/>
  <c r="J42" i="5"/>
  <c r="K42" i="5" s="1"/>
  <c r="J43" i="5"/>
  <c r="K43" i="5" s="1"/>
  <c r="J41" i="5"/>
  <c r="K41" i="5" s="1"/>
  <c r="J39" i="5"/>
  <c r="K39" i="5" s="1"/>
  <c r="J40" i="5"/>
  <c r="K40" i="5" s="1"/>
  <c r="J53" i="5"/>
  <c r="K53" i="5" s="1"/>
  <c r="J54" i="5"/>
  <c r="K54" i="5" s="1"/>
  <c r="J58" i="5"/>
  <c r="J34" i="5"/>
  <c r="K34" i="5" s="1"/>
  <c r="J33" i="5"/>
  <c r="K33" i="5" s="1"/>
  <c r="J31" i="5"/>
  <c r="K31" i="5" s="1"/>
  <c r="J30" i="5"/>
  <c r="K30" i="5" s="1"/>
  <c r="J29" i="5"/>
  <c r="K29" i="5" s="1"/>
  <c r="J32" i="5"/>
  <c r="K32" i="5" s="1"/>
  <c r="J28" i="5"/>
  <c r="K28" i="5" s="1"/>
  <c r="K143" i="8"/>
  <c r="K142" i="8"/>
  <c r="I142" i="8"/>
  <c r="I143" i="8" s="1"/>
  <c r="K141" i="8"/>
  <c r="I141" i="8"/>
  <c r="K140" i="8"/>
  <c r="K139" i="8"/>
  <c r="I139" i="8"/>
  <c r="K138" i="8"/>
  <c r="K137" i="8"/>
  <c r="K136" i="8"/>
  <c r="K135" i="8"/>
  <c r="I135" i="8"/>
  <c r="I137" i="8" s="1"/>
  <c r="K133" i="8"/>
  <c r="I133" i="8"/>
  <c r="K132" i="8"/>
  <c r="I132" i="8"/>
  <c r="K130" i="8"/>
  <c r="K129" i="8"/>
  <c r="I126" i="8"/>
  <c r="K126" i="8" s="1"/>
  <c r="I120" i="8"/>
  <c r="I121" i="8" s="1"/>
  <c r="I122" i="8" s="1"/>
  <c r="J122" i="8" s="1"/>
  <c r="K122" i="8" s="1"/>
  <c r="I119" i="8"/>
  <c r="K119" i="8" s="1"/>
  <c r="K118" i="8"/>
  <c r="I118" i="8"/>
  <c r="K117" i="8"/>
  <c r="I117" i="8"/>
  <c r="I116" i="8"/>
  <c r="K116" i="8" s="1"/>
  <c r="K115" i="8"/>
  <c r="I115" i="8"/>
  <c r="I104" i="8"/>
  <c r="K104" i="8" s="1"/>
  <c r="I103" i="8"/>
  <c r="I114" i="8" s="1"/>
  <c r="K114" i="8" s="1"/>
  <c r="I102" i="8"/>
  <c r="I113" i="8" s="1"/>
  <c r="K113" i="8" s="1"/>
  <c r="K101" i="8"/>
  <c r="I101" i="8"/>
  <c r="I112" i="8" s="1"/>
  <c r="K112" i="8" s="1"/>
  <c r="I100" i="8"/>
  <c r="I106" i="8" s="1"/>
  <c r="K106" i="8" s="1"/>
  <c r="K99" i="8"/>
  <c r="I99" i="8"/>
  <c r="I109" i="8" s="1"/>
  <c r="K109" i="8" s="1"/>
  <c r="K98" i="8"/>
  <c r="I98" i="8"/>
  <c r="K97" i="8"/>
  <c r="I97" i="8"/>
  <c r="I107" i="8" s="1"/>
  <c r="K107" i="8" s="1"/>
  <c r="I96" i="8"/>
  <c r="K96" i="8" s="1"/>
  <c r="I95" i="8"/>
  <c r="K95" i="8" s="1"/>
  <c r="I94" i="8"/>
  <c r="K94" i="8" s="1"/>
  <c r="K93" i="8"/>
  <c r="I93" i="8"/>
  <c r="I92" i="8"/>
  <c r="K92" i="8" s="1"/>
  <c r="K91" i="8"/>
  <c r="I91" i="8"/>
  <c r="K90" i="8"/>
  <c r="I90" i="8"/>
  <c r="K89" i="8"/>
  <c r="I89" i="8"/>
  <c r="K88" i="8"/>
  <c r="I88" i="8"/>
  <c r="K87" i="8"/>
  <c r="K86" i="8"/>
  <c r="I85" i="8"/>
  <c r="K85" i="8" s="1"/>
  <c r="K84" i="8"/>
  <c r="K83" i="8"/>
  <c r="K82" i="8"/>
  <c r="K81" i="8"/>
  <c r="K80" i="8"/>
  <c r="K79" i="8"/>
  <c r="K78" i="8"/>
  <c r="K77" i="8"/>
  <c r="K76" i="8"/>
  <c r="K75" i="8"/>
  <c r="K74" i="8"/>
  <c r="K73" i="8"/>
  <c r="K72" i="8"/>
  <c r="K71" i="8"/>
  <c r="K70" i="8"/>
  <c r="K69" i="8"/>
  <c r="K68" i="8"/>
  <c r="K67" i="8"/>
  <c r="K66" i="8"/>
  <c r="K65" i="8"/>
  <c r="K64" i="8"/>
  <c r="K63" i="8"/>
  <c r="K62" i="8"/>
  <c r="K61" i="8"/>
  <c r="K60" i="8"/>
  <c r="K59" i="8"/>
  <c r="K58" i="8"/>
  <c r="K57" i="8"/>
  <c r="K56" i="8"/>
  <c r="K55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143" i="6"/>
  <c r="K142" i="6"/>
  <c r="I142" i="6"/>
  <c r="I143" i="6" s="1"/>
  <c r="K141" i="6"/>
  <c r="I141" i="6"/>
  <c r="K140" i="6"/>
  <c r="K139" i="6"/>
  <c r="I139" i="6"/>
  <c r="K138" i="6"/>
  <c r="K137" i="6"/>
  <c r="K136" i="6"/>
  <c r="K135" i="6"/>
  <c r="I135" i="6"/>
  <c r="I136" i="6" s="1"/>
  <c r="K133" i="6"/>
  <c r="I133" i="6"/>
  <c r="K132" i="6"/>
  <c r="I132" i="6"/>
  <c r="I126" i="6"/>
  <c r="J126" i="6" s="1"/>
  <c r="K126" i="6" s="1"/>
  <c r="K123" i="6"/>
  <c r="K122" i="6"/>
  <c r="K121" i="6"/>
  <c r="K120" i="6"/>
  <c r="I120" i="6"/>
  <c r="I121" i="6" s="1"/>
  <c r="I122" i="6" s="1"/>
  <c r="I119" i="6"/>
  <c r="K119" i="6" s="1"/>
  <c r="K118" i="6"/>
  <c r="I118" i="6"/>
  <c r="I117" i="6"/>
  <c r="K117" i="6" s="1"/>
  <c r="I116" i="6"/>
  <c r="K116" i="6" s="1"/>
  <c r="K115" i="6"/>
  <c r="I115" i="6"/>
  <c r="K110" i="6"/>
  <c r="K104" i="6"/>
  <c r="I104" i="6"/>
  <c r="I105" i="6" s="1"/>
  <c r="K105" i="6" s="1"/>
  <c r="I103" i="6"/>
  <c r="I114" i="6" s="1"/>
  <c r="K114" i="6" s="1"/>
  <c r="K102" i="6"/>
  <c r="I102" i="6"/>
  <c r="I113" i="6" s="1"/>
  <c r="K113" i="6" s="1"/>
  <c r="I101" i="6"/>
  <c r="I112" i="6" s="1"/>
  <c r="K112" i="6" s="1"/>
  <c r="I100" i="6"/>
  <c r="I106" i="6" s="1"/>
  <c r="K106" i="6" s="1"/>
  <c r="K99" i="6"/>
  <c r="I99" i="6"/>
  <c r="I109" i="6" s="1"/>
  <c r="K109" i="6" s="1"/>
  <c r="I98" i="6"/>
  <c r="K98" i="6" s="1"/>
  <c r="I97" i="6"/>
  <c r="I107" i="6" s="1"/>
  <c r="K107" i="6" s="1"/>
  <c r="K96" i="6"/>
  <c r="I96" i="6"/>
  <c r="I95" i="6"/>
  <c r="K95" i="6" s="1"/>
  <c r="K94" i="6"/>
  <c r="I94" i="6"/>
  <c r="I93" i="6"/>
  <c r="K93" i="6" s="1"/>
  <c r="I92" i="6"/>
  <c r="K92" i="6" s="1"/>
  <c r="K91" i="6"/>
  <c r="I91" i="6"/>
  <c r="K90" i="6"/>
  <c r="I90" i="6"/>
  <c r="K89" i="6"/>
  <c r="I89" i="6"/>
  <c r="K88" i="6"/>
  <c r="I88" i="6"/>
  <c r="K87" i="6"/>
  <c r="K86" i="6"/>
  <c r="I85" i="6"/>
  <c r="K85" i="6" s="1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142" i="5"/>
  <c r="I142" i="5"/>
  <c r="I143" i="5" s="1"/>
  <c r="J143" i="5" s="1"/>
  <c r="K143" i="5" s="1"/>
  <c r="K141" i="5"/>
  <c r="I141" i="5"/>
  <c r="K139" i="5"/>
  <c r="I139" i="5"/>
  <c r="K138" i="5"/>
  <c r="K137" i="5"/>
  <c r="K136" i="5"/>
  <c r="K135" i="5"/>
  <c r="I135" i="5"/>
  <c r="I137" i="5" s="1"/>
  <c r="K133" i="5"/>
  <c r="I133" i="5"/>
  <c r="K132" i="5"/>
  <c r="I132" i="5"/>
  <c r="K131" i="5"/>
  <c r="K128" i="5"/>
  <c r="K127" i="5"/>
  <c r="K126" i="5"/>
  <c r="I126" i="5"/>
  <c r="I129" i="5" s="1"/>
  <c r="J129" i="5" s="1"/>
  <c r="K129" i="5" s="1"/>
  <c r="K123" i="5"/>
  <c r="K122" i="5"/>
  <c r="K121" i="5"/>
  <c r="K120" i="5"/>
  <c r="I120" i="5"/>
  <c r="I121" i="5" s="1"/>
  <c r="I122" i="5" s="1"/>
  <c r="I119" i="5"/>
  <c r="J119" i="5" s="1"/>
  <c r="K118" i="5"/>
  <c r="I118" i="5"/>
  <c r="I117" i="5"/>
  <c r="J117" i="5" s="1"/>
  <c r="K117" i="5" s="1"/>
  <c r="I116" i="5"/>
  <c r="K116" i="5" s="1"/>
  <c r="I115" i="5"/>
  <c r="I104" i="5"/>
  <c r="J104" i="5" s="1"/>
  <c r="I103" i="5"/>
  <c r="J103" i="5" s="1"/>
  <c r="K103" i="5" s="1"/>
  <c r="I102" i="5"/>
  <c r="J102" i="5" s="1"/>
  <c r="K102" i="5" s="1"/>
  <c r="I101" i="5"/>
  <c r="I112" i="5" s="1"/>
  <c r="I100" i="5"/>
  <c r="I99" i="5"/>
  <c r="I109" i="5" s="1"/>
  <c r="J109" i="5" s="1"/>
  <c r="I98" i="5"/>
  <c r="I97" i="5"/>
  <c r="I107" i="5" s="1"/>
  <c r="I96" i="5"/>
  <c r="I95" i="5"/>
  <c r="J95" i="5" s="1"/>
  <c r="K95" i="5" s="1"/>
  <c r="I94" i="5"/>
  <c r="J94" i="5" s="1"/>
  <c r="K94" i="5" s="1"/>
  <c r="I93" i="5"/>
  <c r="J93" i="5" s="1"/>
  <c r="K93" i="5" s="1"/>
  <c r="I92" i="5"/>
  <c r="I91" i="5"/>
  <c r="J91" i="5" s="1"/>
  <c r="K91" i="5" s="1"/>
  <c r="I90" i="5"/>
  <c r="J90" i="5" s="1"/>
  <c r="K90" i="5" s="1"/>
  <c r="I89" i="5"/>
  <c r="J89" i="5" s="1"/>
  <c r="K89" i="5" s="1"/>
  <c r="I88" i="5"/>
  <c r="J88" i="5" s="1"/>
  <c r="K88" i="5" s="1"/>
  <c r="K87" i="5"/>
  <c r="I85" i="5"/>
  <c r="J85" i="5" s="1"/>
  <c r="K77" i="5"/>
  <c r="K70" i="5"/>
  <c r="K65" i="5"/>
  <c r="K63" i="5"/>
  <c r="K61" i="5"/>
  <c r="K59" i="5"/>
  <c r="K58" i="5"/>
  <c r="K52" i="5"/>
  <c r="K49" i="5"/>
  <c r="K44" i="5"/>
  <c r="K38" i="5"/>
  <c r="K37" i="5"/>
  <c r="K36" i="5"/>
  <c r="K35" i="5"/>
  <c r="K27" i="5"/>
  <c r="K143" i="3"/>
  <c r="K142" i="3"/>
  <c r="I142" i="3"/>
  <c r="I143" i="3" s="1"/>
  <c r="K141" i="3"/>
  <c r="I141" i="3"/>
  <c r="K140" i="3"/>
  <c r="K139" i="3"/>
  <c r="I139" i="3"/>
  <c r="K138" i="3"/>
  <c r="K137" i="3"/>
  <c r="K136" i="3"/>
  <c r="K135" i="3"/>
  <c r="I135" i="3"/>
  <c r="I137" i="3" s="1"/>
  <c r="K133" i="3"/>
  <c r="I133" i="3"/>
  <c r="K132" i="3"/>
  <c r="I132" i="3"/>
  <c r="K131" i="3"/>
  <c r="K130" i="3"/>
  <c r="K129" i="3"/>
  <c r="K128" i="3"/>
  <c r="K127" i="3"/>
  <c r="K126" i="3"/>
  <c r="I126" i="3"/>
  <c r="K123" i="3"/>
  <c r="K122" i="3"/>
  <c r="K121" i="3"/>
  <c r="K120" i="3"/>
  <c r="I120" i="3"/>
  <c r="I121" i="3" s="1"/>
  <c r="I122" i="3" s="1"/>
  <c r="I119" i="3"/>
  <c r="J119" i="3" s="1"/>
  <c r="K119" i="3" s="1"/>
  <c r="K118" i="3"/>
  <c r="I118" i="3"/>
  <c r="I117" i="3"/>
  <c r="J117" i="3" s="1"/>
  <c r="K117" i="3" s="1"/>
  <c r="I116" i="3"/>
  <c r="J116" i="3" s="1"/>
  <c r="K116" i="3" s="1"/>
  <c r="I115" i="3"/>
  <c r="J115" i="3" s="1"/>
  <c r="K115" i="3" s="1"/>
  <c r="I104" i="3"/>
  <c r="J104" i="3" s="1"/>
  <c r="K104" i="3" s="1"/>
  <c r="I103" i="3"/>
  <c r="I114" i="3" s="1"/>
  <c r="J114" i="3" s="1"/>
  <c r="K114" i="3" s="1"/>
  <c r="I102" i="3"/>
  <c r="I113" i="3" s="1"/>
  <c r="J113" i="3" s="1"/>
  <c r="K113" i="3" s="1"/>
  <c r="I101" i="3"/>
  <c r="J101" i="3" s="1"/>
  <c r="K101" i="3" s="1"/>
  <c r="I100" i="3"/>
  <c r="J100" i="3" s="1"/>
  <c r="K100" i="3" s="1"/>
  <c r="I99" i="3"/>
  <c r="I109" i="3" s="1"/>
  <c r="J109" i="3" s="1"/>
  <c r="K109" i="3" s="1"/>
  <c r="I98" i="3"/>
  <c r="J98" i="3" s="1"/>
  <c r="K98" i="3" s="1"/>
  <c r="I97" i="3"/>
  <c r="I107" i="3" s="1"/>
  <c r="J107" i="3" s="1"/>
  <c r="K107" i="3" s="1"/>
  <c r="I96" i="3"/>
  <c r="J96" i="3" s="1"/>
  <c r="K96" i="3" s="1"/>
  <c r="I95" i="3"/>
  <c r="J95" i="3" s="1"/>
  <c r="K95" i="3" s="1"/>
  <c r="I94" i="3"/>
  <c r="J94" i="3" s="1"/>
  <c r="K94" i="3" s="1"/>
  <c r="I93" i="3"/>
  <c r="J93" i="3" s="1"/>
  <c r="K93" i="3" s="1"/>
  <c r="I92" i="3"/>
  <c r="J92" i="3" s="1"/>
  <c r="K92" i="3" s="1"/>
  <c r="K91" i="3"/>
  <c r="I91" i="3"/>
  <c r="K90" i="3"/>
  <c r="I90" i="3"/>
  <c r="K89" i="3"/>
  <c r="I89" i="3"/>
  <c r="K88" i="3"/>
  <c r="I88" i="3"/>
  <c r="J87" i="3"/>
  <c r="K87" i="3" s="1"/>
  <c r="K86" i="3"/>
  <c r="I85" i="3"/>
  <c r="J85" i="3" s="1"/>
  <c r="K85" i="3" s="1"/>
  <c r="J84" i="3"/>
  <c r="K84" i="3" s="1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J62" i="3"/>
  <c r="K62" i="3" s="1"/>
  <c r="J61" i="3"/>
  <c r="K61" i="3" s="1"/>
  <c r="K60" i="3"/>
  <c r="K59" i="3"/>
  <c r="J58" i="3"/>
  <c r="K58" i="3" s="1"/>
  <c r="J57" i="3"/>
  <c r="K57" i="3" s="1"/>
  <c r="J56" i="3"/>
  <c r="K56" i="3" s="1"/>
  <c r="J55" i="3"/>
  <c r="K55" i="3" s="1"/>
  <c r="J54" i="3"/>
  <c r="K54" i="3" s="1"/>
  <c r="J53" i="3"/>
  <c r="K53" i="3" s="1"/>
  <c r="J52" i="3"/>
  <c r="K52" i="3" s="1"/>
  <c r="J51" i="3"/>
  <c r="K51" i="3" s="1"/>
  <c r="J50" i="3"/>
  <c r="K50" i="3" s="1"/>
  <c r="J49" i="3"/>
  <c r="K49" i="3" s="1"/>
  <c r="J48" i="3"/>
  <c r="K48" i="3" s="1"/>
  <c r="J47" i="3"/>
  <c r="K47" i="3" s="1"/>
  <c r="J46" i="3"/>
  <c r="K46" i="3" s="1"/>
  <c r="J45" i="3"/>
  <c r="K45" i="3" s="1"/>
  <c r="J44" i="3"/>
  <c r="K44" i="3" s="1"/>
  <c r="J43" i="3"/>
  <c r="K43" i="3" s="1"/>
  <c r="J42" i="3"/>
  <c r="K42" i="3" s="1"/>
  <c r="J41" i="3"/>
  <c r="K41" i="3" s="1"/>
  <c r="J40" i="3"/>
  <c r="K40" i="3" s="1"/>
  <c r="K39" i="3"/>
  <c r="J38" i="3"/>
  <c r="K38" i="3" s="1"/>
  <c r="J37" i="3"/>
  <c r="K37" i="3" s="1"/>
  <c r="K36" i="3"/>
  <c r="K35" i="3"/>
  <c r="K34" i="3"/>
  <c r="K33" i="3"/>
  <c r="K32" i="3"/>
  <c r="K31" i="3"/>
  <c r="K30" i="3"/>
  <c r="K29" i="3"/>
  <c r="K28" i="3"/>
  <c r="K27" i="3"/>
  <c r="K88" i="1"/>
  <c r="K89" i="1"/>
  <c r="K90" i="1"/>
  <c r="K91" i="1"/>
  <c r="K118" i="1"/>
  <c r="K120" i="1"/>
  <c r="K121" i="1"/>
  <c r="K122" i="1"/>
  <c r="K123" i="1"/>
  <c r="K126" i="1"/>
  <c r="K127" i="1"/>
  <c r="K128" i="1"/>
  <c r="K129" i="1"/>
  <c r="K130" i="1"/>
  <c r="K131" i="1"/>
  <c r="K132" i="1"/>
  <c r="K133" i="1"/>
  <c r="K135" i="1"/>
  <c r="K136" i="1"/>
  <c r="K137" i="1"/>
  <c r="K138" i="1"/>
  <c r="K139" i="1"/>
  <c r="K140" i="1"/>
  <c r="K141" i="1"/>
  <c r="K142" i="1"/>
  <c r="K143" i="1"/>
  <c r="J84" i="1"/>
  <c r="K84" i="1" s="1"/>
  <c r="J41" i="1"/>
  <c r="K41" i="1" s="1"/>
  <c r="J45" i="1"/>
  <c r="K45" i="1" s="1"/>
  <c r="J43" i="1"/>
  <c r="K43" i="1" s="1"/>
  <c r="J42" i="1"/>
  <c r="K42" i="1" s="1"/>
  <c r="J62" i="1"/>
  <c r="K62" i="1" s="1"/>
  <c r="K39" i="1"/>
  <c r="K59" i="1"/>
  <c r="K60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6" i="1"/>
  <c r="J61" i="1"/>
  <c r="K61" i="1" s="1"/>
  <c r="J37" i="1"/>
  <c r="K37" i="1" s="1"/>
  <c r="J38" i="1"/>
  <c r="K38" i="1" s="1"/>
  <c r="J40" i="1"/>
  <c r="K40" i="1" s="1"/>
  <c r="J87" i="1"/>
  <c r="K87" i="1" s="1"/>
  <c r="J44" i="1"/>
  <c r="K44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K36" i="1"/>
  <c r="K35" i="1"/>
  <c r="K34" i="1"/>
  <c r="K33" i="1"/>
  <c r="K32" i="1"/>
  <c r="K31" i="1"/>
  <c r="K30" i="1"/>
  <c r="K29" i="1"/>
  <c r="K28" i="1"/>
  <c r="K27" i="1"/>
  <c r="I142" i="1"/>
  <c r="I143" i="1" s="1"/>
  <c r="I141" i="1"/>
  <c r="I139" i="1"/>
  <c r="I135" i="1"/>
  <c r="I137" i="1" s="1"/>
  <c r="I133" i="1"/>
  <c r="I132" i="1"/>
  <c r="I126" i="1"/>
  <c r="I129" i="1" s="1"/>
  <c r="I120" i="1"/>
  <c r="I121" i="1" s="1"/>
  <c r="I122" i="1" s="1"/>
  <c r="I119" i="1"/>
  <c r="J119" i="1" s="1"/>
  <c r="K119" i="1" s="1"/>
  <c r="I118" i="1"/>
  <c r="I117" i="1"/>
  <c r="J117" i="1" s="1"/>
  <c r="K117" i="1" s="1"/>
  <c r="I116" i="1"/>
  <c r="J116" i="1" s="1"/>
  <c r="K116" i="1" s="1"/>
  <c r="I115" i="1"/>
  <c r="J115" i="1" s="1"/>
  <c r="K115" i="1" s="1"/>
  <c r="I104" i="1"/>
  <c r="I105" i="1" s="1"/>
  <c r="J105" i="1" s="1"/>
  <c r="K105" i="1" s="1"/>
  <c r="I103" i="1"/>
  <c r="I114" i="1" s="1"/>
  <c r="J114" i="1" s="1"/>
  <c r="K114" i="1" s="1"/>
  <c r="I102" i="1"/>
  <c r="I113" i="1" s="1"/>
  <c r="J113" i="1" s="1"/>
  <c r="K113" i="1" s="1"/>
  <c r="I101" i="1"/>
  <c r="I112" i="1" s="1"/>
  <c r="J112" i="1" s="1"/>
  <c r="K112" i="1" s="1"/>
  <c r="I100" i="1"/>
  <c r="I106" i="1" s="1"/>
  <c r="J106" i="1" s="1"/>
  <c r="K106" i="1" s="1"/>
  <c r="I99" i="1"/>
  <c r="I111" i="1" s="1"/>
  <c r="J111" i="1" s="1"/>
  <c r="K111" i="1" s="1"/>
  <c r="I98" i="1"/>
  <c r="J98" i="1" s="1"/>
  <c r="K98" i="1" s="1"/>
  <c r="I97" i="1"/>
  <c r="I107" i="1" s="1"/>
  <c r="J107" i="1" s="1"/>
  <c r="K107" i="1" s="1"/>
  <c r="I96" i="1"/>
  <c r="J96" i="1" s="1"/>
  <c r="K96" i="1" s="1"/>
  <c r="I95" i="1"/>
  <c r="J95" i="1" s="1"/>
  <c r="K95" i="1" s="1"/>
  <c r="I94" i="1"/>
  <c r="J94" i="1" s="1"/>
  <c r="K94" i="1" s="1"/>
  <c r="I93" i="1"/>
  <c r="J93" i="1" s="1"/>
  <c r="K93" i="1" s="1"/>
  <c r="I92" i="1"/>
  <c r="J92" i="1" s="1"/>
  <c r="K92" i="1" s="1"/>
  <c r="I91" i="1"/>
  <c r="I90" i="1"/>
  <c r="I89" i="1"/>
  <c r="I88" i="1"/>
  <c r="I85" i="1"/>
  <c r="J85" i="1" s="1"/>
  <c r="K85" i="1" s="1"/>
  <c r="I27" i="2"/>
  <c r="K27" i="2"/>
  <c r="I28" i="2"/>
  <c r="K28" i="2"/>
  <c r="I29" i="2"/>
  <c r="K29" i="2"/>
  <c r="I30" i="2"/>
  <c r="K30" i="2"/>
  <c r="I31" i="2"/>
  <c r="K31" i="2"/>
  <c r="I32" i="2"/>
  <c r="K32" i="2"/>
  <c r="I33" i="2"/>
  <c r="K33" i="2"/>
  <c r="I34" i="2"/>
  <c r="K34" i="2"/>
  <c r="K35" i="2"/>
  <c r="I36" i="2"/>
  <c r="K36" i="2"/>
  <c r="I37" i="2"/>
  <c r="K37" i="2"/>
  <c r="I38" i="2"/>
  <c r="K38" i="2"/>
  <c r="I39" i="2"/>
  <c r="K39" i="2"/>
  <c r="I40" i="2"/>
  <c r="J40" i="2" s="1"/>
  <c r="K40" i="2" s="1"/>
  <c r="I41" i="2"/>
  <c r="J41" i="2" s="1"/>
  <c r="K41" i="2" s="1"/>
  <c r="I42" i="2"/>
  <c r="J42" i="2" s="1"/>
  <c r="K42" i="2" s="1"/>
  <c r="I43" i="2"/>
  <c r="J43" i="2" s="1"/>
  <c r="K43" i="2" s="1"/>
  <c r="I44" i="2"/>
  <c r="J44" i="2" s="1"/>
  <c r="K44" i="2" s="1"/>
  <c r="I45" i="2"/>
  <c r="J45" i="2" s="1"/>
  <c r="K45" i="2" s="1"/>
  <c r="I46" i="2"/>
  <c r="J46" i="2" s="1"/>
  <c r="K46" i="2" s="1"/>
  <c r="I47" i="2"/>
  <c r="J47" i="2" s="1"/>
  <c r="K47" i="2" s="1"/>
  <c r="I48" i="2"/>
  <c r="J48" i="2" s="1"/>
  <c r="K48" i="2" s="1"/>
  <c r="I49" i="2"/>
  <c r="J49" i="2" s="1"/>
  <c r="K49" i="2" s="1"/>
  <c r="I50" i="2"/>
  <c r="J50" i="2" s="1"/>
  <c r="K50" i="2" s="1"/>
  <c r="I51" i="2"/>
  <c r="J51" i="2" s="1"/>
  <c r="K51" i="2" s="1"/>
  <c r="I52" i="2"/>
  <c r="J52" i="2" s="1"/>
  <c r="K52" i="2" s="1"/>
  <c r="I53" i="2"/>
  <c r="J53" i="2" s="1"/>
  <c r="K53" i="2" s="1"/>
  <c r="I54" i="2"/>
  <c r="J54" i="2" s="1"/>
  <c r="K54" i="2" s="1"/>
  <c r="I55" i="2"/>
  <c r="J55" i="2" s="1"/>
  <c r="K55" i="2" s="1"/>
  <c r="I56" i="2"/>
  <c r="J56" i="2" s="1"/>
  <c r="K56" i="2" s="1"/>
  <c r="I57" i="2"/>
  <c r="J57" i="2" s="1"/>
  <c r="K57" i="2" s="1"/>
  <c r="I58" i="2"/>
  <c r="J58" i="2" s="1"/>
  <c r="K58" i="2" s="1"/>
  <c r="K59" i="2"/>
  <c r="I60" i="2"/>
  <c r="I64" i="2" s="1"/>
  <c r="K60" i="2"/>
  <c r="I61" i="2"/>
  <c r="J61" i="2" s="1"/>
  <c r="K61" i="2" s="1"/>
  <c r="I62" i="2"/>
  <c r="J62" i="2" s="1"/>
  <c r="K62" i="2" s="1"/>
  <c r="I63" i="2"/>
  <c r="I70" i="2" s="1"/>
  <c r="K63" i="2"/>
  <c r="K64" i="2"/>
  <c r="I65" i="2"/>
  <c r="I66" i="2" s="1"/>
  <c r="K65" i="2"/>
  <c r="K66" i="2"/>
  <c r="I67" i="2"/>
  <c r="K67" i="2"/>
  <c r="I68" i="2"/>
  <c r="I69" i="2" s="1"/>
  <c r="K68" i="2"/>
  <c r="K69" i="2"/>
  <c r="K70" i="2"/>
  <c r="I71" i="2"/>
  <c r="K71" i="2"/>
  <c r="I72" i="2"/>
  <c r="K72" i="2"/>
  <c r="I73" i="2"/>
  <c r="K73" i="2"/>
  <c r="I74" i="2"/>
  <c r="K74" i="2"/>
  <c r="I75" i="2"/>
  <c r="K75" i="2"/>
  <c r="I76" i="2"/>
  <c r="K76" i="2"/>
  <c r="I77" i="2"/>
  <c r="K77" i="2"/>
  <c r="I78" i="2"/>
  <c r="K78" i="2"/>
  <c r="I79" i="2"/>
  <c r="K79" i="2"/>
  <c r="I80" i="2"/>
  <c r="K80" i="2"/>
  <c r="I81" i="2"/>
  <c r="K81" i="2"/>
  <c r="I82" i="2"/>
  <c r="K82" i="2"/>
  <c r="I83" i="2"/>
  <c r="K83" i="2"/>
  <c r="I84" i="2"/>
  <c r="J84" i="2" s="1"/>
  <c r="K84" i="2" s="1"/>
  <c r="I85" i="2"/>
  <c r="J85" i="2" s="1"/>
  <c r="K85" i="2" s="1"/>
  <c r="I86" i="2"/>
  <c r="K86" i="2"/>
  <c r="J87" i="2"/>
  <c r="K87" i="2" s="1"/>
  <c r="I110" i="6" l="1"/>
  <c r="I137" i="6"/>
  <c r="I138" i="6" s="1"/>
  <c r="I137" i="11"/>
  <c r="I140" i="11" s="1"/>
  <c r="I129" i="12"/>
  <c r="I108" i="8"/>
  <c r="K108" i="8" s="1"/>
  <c r="I106" i="3"/>
  <c r="J106" i="3" s="1"/>
  <c r="K106" i="3" s="1"/>
  <c r="J120" i="8"/>
  <c r="K120" i="8" s="1"/>
  <c r="I138" i="11"/>
  <c r="I114" i="5"/>
  <c r="J114" i="5" s="1"/>
  <c r="K114" i="5" s="1"/>
  <c r="I111" i="6"/>
  <c r="K111" i="6" s="1"/>
  <c r="J121" i="8"/>
  <c r="K121" i="8" s="1"/>
  <c r="I143" i="12"/>
  <c r="J143" i="12" s="1"/>
  <c r="K143" i="12" s="1"/>
  <c r="I110" i="13"/>
  <c r="I129" i="13"/>
  <c r="I136" i="13"/>
  <c r="J101" i="5"/>
  <c r="K101" i="5" s="1"/>
  <c r="I107" i="13"/>
  <c r="I138" i="13"/>
  <c r="I140" i="13"/>
  <c r="J112" i="5"/>
  <c r="K112" i="5" s="1"/>
  <c r="J103" i="3"/>
  <c r="K103" i="3" s="1"/>
  <c r="I129" i="6"/>
  <c r="J129" i="6" s="1"/>
  <c r="K129" i="6" s="1"/>
  <c r="I110" i="12"/>
  <c r="I113" i="5"/>
  <c r="J113" i="5" s="1"/>
  <c r="K113" i="5" s="1"/>
  <c r="J103" i="1"/>
  <c r="K103" i="1" s="1"/>
  <c r="J97" i="3"/>
  <c r="K97" i="3" s="1"/>
  <c r="I136" i="8"/>
  <c r="J107" i="5"/>
  <c r="K107" i="5" s="1"/>
  <c r="J115" i="5"/>
  <c r="K115" i="5" s="1"/>
  <c r="I121" i="13"/>
  <c r="K121" i="13" s="1"/>
  <c r="K104" i="5"/>
  <c r="J97" i="5"/>
  <c r="K97" i="5" s="1"/>
  <c r="I110" i="3"/>
  <c r="J110" i="3" s="1"/>
  <c r="K110" i="3" s="1"/>
  <c r="I105" i="5"/>
  <c r="J105" i="5" s="1"/>
  <c r="K105" i="5" s="1"/>
  <c r="J98" i="5"/>
  <c r="K98" i="5" s="1"/>
  <c r="J102" i="13"/>
  <c r="K102" i="13" s="1"/>
  <c r="I111" i="3"/>
  <c r="J111" i="3" s="1"/>
  <c r="K111" i="3" s="1"/>
  <c r="I106" i="5"/>
  <c r="J92" i="5"/>
  <c r="K92" i="5" s="1"/>
  <c r="J99" i="5"/>
  <c r="K99" i="5" s="1"/>
  <c r="K119" i="5"/>
  <c r="J100" i="5"/>
  <c r="K100" i="5" s="1"/>
  <c r="M26" i="2"/>
  <c r="I110" i="8"/>
  <c r="K110" i="8" s="1"/>
  <c r="J96" i="5"/>
  <c r="K96" i="5" s="1"/>
  <c r="I111" i="5"/>
  <c r="J111" i="5" s="1"/>
  <c r="K111" i="5" s="1"/>
  <c r="I109" i="11"/>
  <c r="I111" i="13"/>
  <c r="I138" i="12"/>
  <c r="I140" i="12"/>
  <c r="I124" i="12"/>
  <c r="K124" i="12" s="1"/>
  <c r="I123" i="12"/>
  <c r="K122" i="12"/>
  <c r="I136" i="12"/>
  <c r="I107" i="12"/>
  <c r="I111" i="12"/>
  <c r="I121" i="11"/>
  <c r="K126" i="11"/>
  <c r="I129" i="11"/>
  <c r="I110" i="11"/>
  <c r="I130" i="11"/>
  <c r="I107" i="11"/>
  <c r="K109" i="5"/>
  <c r="K85" i="5"/>
  <c r="I124" i="8"/>
  <c r="I123" i="8"/>
  <c r="I138" i="8"/>
  <c r="I140" i="8"/>
  <c r="K102" i="8"/>
  <c r="I105" i="8"/>
  <c r="K105" i="8" s="1"/>
  <c r="I129" i="8"/>
  <c r="K100" i="8"/>
  <c r="I111" i="8"/>
  <c r="K111" i="8" s="1"/>
  <c r="I130" i="8"/>
  <c r="K103" i="8"/>
  <c r="I124" i="6"/>
  <c r="K124" i="6" s="1"/>
  <c r="I123" i="6"/>
  <c r="I125" i="6" s="1"/>
  <c r="K125" i="6" s="1"/>
  <c r="K100" i="6"/>
  <c r="I130" i="6"/>
  <c r="J130" i="6" s="1"/>
  <c r="K130" i="6" s="1"/>
  <c r="K103" i="6"/>
  <c r="K97" i="6"/>
  <c r="I108" i="6"/>
  <c r="K108" i="6" s="1"/>
  <c r="K101" i="6"/>
  <c r="I124" i="5"/>
  <c r="K124" i="5" s="1"/>
  <c r="I123" i="5"/>
  <c r="I134" i="5" s="1"/>
  <c r="K134" i="5" s="1"/>
  <c r="I138" i="5"/>
  <c r="I140" i="5"/>
  <c r="J140" i="5" s="1"/>
  <c r="K140" i="5" s="1"/>
  <c r="I110" i="5"/>
  <c r="I136" i="5"/>
  <c r="I108" i="5"/>
  <c r="I130" i="5"/>
  <c r="J130" i="5" s="1"/>
  <c r="K130" i="5" s="1"/>
  <c r="J104" i="1"/>
  <c r="K104" i="1" s="1"/>
  <c r="I112" i="3"/>
  <c r="J112" i="3" s="1"/>
  <c r="K112" i="3" s="1"/>
  <c r="J102" i="1"/>
  <c r="K102" i="1" s="1"/>
  <c r="J99" i="3"/>
  <c r="K99" i="3" s="1"/>
  <c r="J100" i="1"/>
  <c r="K100" i="1" s="1"/>
  <c r="I108" i="3"/>
  <c r="J108" i="3" s="1"/>
  <c r="K108" i="3" s="1"/>
  <c r="I136" i="3"/>
  <c r="J99" i="1"/>
  <c r="K99" i="1" s="1"/>
  <c r="J97" i="1"/>
  <c r="K97" i="1" s="1"/>
  <c r="J101" i="1"/>
  <c r="K101" i="1" s="1"/>
  <c r="I108" i="1"/>
  <c r="J108" i="1" s="1"/>
  <c r="K108" i="1" s="1"/>
  <c r="I130" i="1"/>
  <c r="I124" i="3"/>
  <c r="J124" i="3" s="1"/>
  <c r="K124" i="3" s="1"/>
  <c r="I123" i="3"/>
  <c r="I127" i="3" s="1"/>
  <c r="I138" i="3"/>
  <c r="I140" i="3"/>
  <c r="J102" i="3"/>
  <c r="K102" i="3" s="1"/>
  <c r="I105" i="3"/>
  <c r="J105" i="3" s="1"/>
  <c r="K105" i="3" s="1"/>
  <c r="I129" i="3"/>
  <c r="I130" i="3"/>
  <c r="I109" i="1"/>
  <c r="J109" i="1" s="1"/>
  <c r="K109" i="1" s="1"/>
  <c r="I136" i="1"/>
  <c r="I110" i="1"/>
  <c r="J110" i="1" s="1"/>
  <c r="K110" i="1" s="1"/>
  <c r="I140" i="1"/>
  <c r="I138" i="1"/>
  <c r="I123" i="1"/>
  <c r="I124" i="1"/>
  <c r="O28" i="3" l="1"/>
  <c r="O32" i="3" s="1"/>
  <c r="I140" i="6"/>
  <c r="I127" i="6"/>
  <c r="J127" i="6" s="1"/>
  <c r="K127" i="6" s="1"/>
  <c r="I131" i="6"/>
  <c r="J131" i="6" s="1"/>
  <c r="K131" i="6" s="1"/>
  <c r="I134" i="6"/>
  <c r="K134" i="6" s="1"/>
  <c r="J110" i="5"/>
  <c r="K110" i="5" s="1"/>
  <c r="I122" i="13"/>
  <c r="I123" i="13" s="1"/>
  <c r="I131" i="3"/>
  <c r="O28" i="1"/>
  <c r="J106" i="5"/>
  <c r="K106" i="5" s="1"/>
  <c r="I128" i="6"/>
  <c r="J128" i="6" s="1"/>
  <c r="K128" i="6" s="1"/>
  <c r="I131" i="12"/>
  <c r="K131" i="12" s="1"/>
  <c r="I125" i="8"/>
  <c r="J123" i="8"/>
  <c r="K123" i="8" s="1"/>
  <c r="I128" i="3"/>
  <c r="J108" i="5"/>
  <c r="K108" i="5" s="1"/>
  <c r="J124" i="8"/>
  <c r="K124" i="8" s="1"/>
  <c r="K122" i="13"/>
  <c r="K123" i="12"/>
  <c r="I125" i="12"/>
  <c r="K125" i="12" s="1"/>
  <c r="I127" i="12"/>
  <c r="I134" i="12"/>
  <c r="K134" i="12" s="1"/>
  <c r="I122" i="11"/>
  <c r="K121" i="11"/>
  <c r="I127" i="8"/>
  <c r="I134" i="8"/>
  <c r="I131" i="8"/>
  <c r="J131" i="8" s="1"/>
  <c r="K131" i="8" s="1"/>
  <c r="I131" i="5"/>
  <c r="I127" i="5"/>
  <c r="I128" i="5" s="1"/>
  <c r="I125" i="5"/>
  <c r="K125" i="5" s="1"/>
  <c r="O29" i="5" s="1"/>
  <c r="O33" i="5" s="1"/>
  <c r="I134" i="3"/>
  <c r="J134" i="3" s="1"/>
  <c r="K134" i="3" s="1"/>
  <c r="I125" i="3"/>
  <c r="J125" i="3" s="1"/>
  <c r="K125" i="3" s="1"/>
  <c r="I131" i="1"/>
  <c r="J124" i="1"/>
  <c r="K124" i="1" s="1"/>
  <c r="I134" i="1"/>
  <c r="J134" i="1" s="1"/>
  <c r="K134" i="1" s="1"/>
  <c r="I125" i="1"/>
  <c r="J125" i="1" s="1"/>
  <c r="K125" i="1" s="1"/>
  <c r="I127" i="1"/>
  <c r="I128" i="1" s="1"/>
  <c r="O26" i="2"/>
  <c r="O27" i="2"/>
  <c r="O29" i="3" l="1"/>
  <c r="O30" i="3"/>
  <c r="O33" i="3"/>
  <c r="O31" i="3"/>
  <c r="O30" i="1"/>
  <c r="O32" i="1"/>
  <c r="O28" i="6"/>
  <c r="I124" i="13"/>
  <c r="I131" i="13" s="1"/>
  <c r="K131" i="13" s="1"/>
  <c r="O29" i="6"/>
  <c r="O28" i="5"/>
  <c r="O32" i="5" s="1"/>
  <c r="O31" i="5"/>
  <c r="O29" i="12"/>
  <c r="O33" i="12" s="1"/>
  <c r="J134" i="8"/>
  <c r="K134" i="8" s="1"/>
  <c r="I128" i="8"/>
  <c r="J128" i="8" s="1"/>
  <c r="K128" i="8" s="1"/>
  <c r="J127" i="8"/>
  <c r="K127" i="8" s="1"/>
  <c r="J125" i="8"/>
  <c r="K125" i="8" s="1"/>
  <c r="K123" i="13"/>
  <c r="I125" i="13"/>
  <c r="K125" i="13" s="1"/>
  <c r="I127" i="13"/>
  <c r="I134" i="13"/>
  <c r="K134" i="13" s="1"/>
  <c r="K124" i="13"/>
  <c r="I128" i="12"/>
  <c r="K128" i="12" s="1"/>
  <c r="K127" i="12"/>
  <c r="I123" i="11"/>
  <c r="K122" i="11"/>
  <c r="I124" i="11"/>
  <c r="O29" i="1"/>
  <c r="O33" i="1" s="1"/>
  <c r="O31" i="6" l="1"/>
  <c r="O33" i="6"/>
  <c r="O30" i="6"/>
  <c r="O32" i="6"/>
  <c r="O29" i="8"/>
  <c r="O33" i="8" s="1"/>
  <c r="O30" i="5"/>
  <c r="O28" i="8"/>
  <c r="O28" i="12"/>
  <c r="O29" i="13"/>
  <c r="I128" i="13"/>
  <c r="K128" i="13" s="1"/>
  <c r="K127" i="13"/>
  <c r="O31" i="12"/>
  <c r="I125" i="11"/>
  <c r="K125" i="11" s="1"/>
  <c r="I134" i="11"/>
  <c r="K123" i="11"/>
  <c r="I127" i="11"/>
  <c r="K124" i="11"/>
  <c r="I131" i="11"/>
  <c r="K131" i="11" s="1"/>
  <c r="O31" i="1"/>
  <c r="O30" i="12" l="1"/>
  <c r="O32" i="12"/>
  <c r="O31" i="13"/>
  <c r="O33" i="13"/>
  <c r="O30" i="8"/>
  <c r="O32" i="8"/>
  <c r="O31" i="8"/>
  <c r="O28" i="13"/>
  <c r="O32" i="13" s="1"/>
  <c r="J134" i="11"/>
  <c r="K134" i="11" s="1"/>
  <c r="O29" i="11" s="1"/>
  <c r="O33" i="11" s="1"/>
  <c r="I128" i="11"/>
  <c r="K128" i="11" s="1"/>
  <c r="K127" i="11"/>
  <c r="O28" i="11" l="1"/>
  <c r="O32" i="11" s="1"/>
  <c r="O30" i="13"/>
  <c r="O31" i="11"/>
  <c r="O30" i="11" l="1"/>
</calcChain>
</file>

<file path=xl/sharedStrings.xml><?xml version="1.0" encoding="utf-8"?>
<sst xmlns="http://schemas.openxmlformats.org/spreadsheetml/2006/main" count="8504" uniqueCount="333">
  <si>
    <t>&lt;add properties&gt;</t>
  </si>
  <si>
    <t>Mass Fractions</t>
  </si>
  <si>
    <t>kg/day</t>
  </si>
  <si>
    <t>Mass Flows</t>
  </si>
  <si>
    <t>Mole Fractions</t>
  </si>
  <si>
    <t>kmol/hr</t>
  </si>
  <si>
    <t>Mole Flows</t>
  </si>
  <si>
    <t>Average MW</t>
  </si>
  <si>
    <t>Watt</t>
  </si>
  <si>
    <t>Enthalpy Flow</t>
  </si>
  <si>
    <t>kg/cum</t>
  </si>
  <si>
    <t>Mass Density</t>
  </si>
  <si>
    <t>kmol/cum</t>
  </si>
  <si>
    <t>Molar Density</t>
  </si>
  <si>
    <t>J/kg-K</t>
  </si>
  <si>
    <t>Mass Entropy</t>
  </si>
  <si>
    <t>J/kmol-K</t>
  </si>
  <si>
    <t>Molar Entropy</t>
  </si>
  <si>
    <t>J/kg</t>
  </si>
  <si>
    <t>Mass Enthalpy</t>
  </si>
  <si>
    <t>J/kmol</t>
  </si>
  <si>
    <t>Molar Enthalpy</t>
  </si>
  <si>
    <t>Liquid Phase</t>
  </si>
  <si>
    <t>Vapor Phase</t>
  </si>
  <si>
    <t>l/day</t>
  </si>
  <si>
    <t>Volume Flow</t>
  </si>
  <si>
    <t>CACO3</t>
  </si>
  <si>
    <t>CA++</t>
  </si>
  <si>
    <t>CA(OH)2</t>
  </si>
  <si>
    <t>FECO3</t>
  </si>
  <si>
    <t>FES</t>
  </si>
  <si>
    <t>FE(OH)3</t>
  </si>
  <si>
    <t>FE++</t>
  </si>
  <si>
    <t>FE(OH)2</t>
  </si>
  <si>
    <t>FE+++</t>
  </si>
  <si>
    <t>STRUVITE</t>
  </si>
  <si>
    <t>MG++</t>
  </si>
  <si>
    <t>MG(OH)2</t>
  </si>
  <si>
    <t>K3PO4</t>
  </si>
  <si>
    <t>KHCO3</t>
  </si>
  <si>
    <t>K2CO3</t>
  </si>
  <si>
    <t>K2HPO4</t>
  </si>
  <si>
    <t>KH2PO4</t>
  </si>
  <si>
    <t>K+</t>
  </si>
  <si>
    <t>SALT3</t>
  </si>
  <si>
    <t>DIAMM-01</t>
  </si>
  <si>
    <t>PO4---</t>
  </si>
  <si>
    <t>HPO4--</t>
  </si>
  <si>
    <t>H2PO4-</t>
  </si>
  <si>
    <t>H3PO4</t>
  </si>
  <si>
    <t>NH2COO</t>
  </si>
  <si>
    <t>S--</t>
  </si>
  <si>
    <t>SALT1</t>
  </si>
  <si>
    <t>NH4HS(S)</t>
  </si>
  <si>
    <t>AMMON(S)</t>
  </si>
  <si>
    <t>THREO-02</t>
  </si>
  <si>
    <t>METHI-02</t>
  </si>
  <si>
    <t>PHENY-02</t>
  </si>
  <si>
    <t>ARGIN-03</t>
  </si>
  <si>
    <t>ARGIN-02</t>
  </si>
  <si>
    <t>TRYPT-02</t>
  </si>
  <si>
    <t>TYROS-03</t>
  </si>
  <si>
    <t>TYROS-02</t>
  </si>
  <si>
    <t>C6H13N2O</t>
  </si>
  <si>
    <t>C4H6NO4-</t>
  </si>
  <si>
    <t>ASPAR-01</t>
  </si>
  <si>
    <t>THREO-01</t>
  </si>
  <si>
    <t>METHI-01</t>
  </si>
  <si>
    <t>PHENY-01</t>
  </si>
  <si>
    <t>LYSIN-01</t>
  </si>
  <si>
    <t>ARGIN-01</t>
  </si>
  <si>
    <t>TRYPT-01</t>
  </si>
  <si>
    <t>TYROS-01</t>
  </si>
  <si>
    <t>PROLI-01</t>
  </si>
  <si>
    <t>ISOLE-01</t>
  </si>
  <si>
    <t>C5H8NO4-</t>
  </si>
  <si>
    <t>C5H10NO2</t>
  </si>
  <si>
    <t>C3H6NO3-</t>
  </si>
  <si>
    <t>C18H33O2</t>
  </si>
  <si>
    <t>C4H7O2-</t>
  </si>
  <si>
    <t>C5H9O2-</t>
  </si>
  <si>
    <t>C3H5O2-</t>
  </si>
  <si>
    <t>INERT</t>
  </si>
  <si>
    <t>ACETATE</t>
  </si>
  <si>
    <t>KERATIN</t>
  </si>
  <si>
    <t>PROTEIN</t>
  </si>
  <si>
    <t>ETHANOL</t>
  </si>
  <si>
    <t>STARCH</t>
  </si>
  <si>
    <t>LINOLEIC</t>
  </si>
  <si>
    <t>FURFURAL</t>
  </si>
  <si>
    <t>XYLOSE</t>
  </si>
  <si>
    <t>SN-1--02</t>
  </si>
  <si>
    <t>SN-1--01</t>
  </si>
  <si>
    <t>PALM</t>
  </si>
  <si>
    <t>TRIPALM</t>
  </si>
  <si>
    <t>TRIOLEIN</t>
  </si>
  <si>
    <t>GLUCOSE</t>
  </si>
  <si>
    <t>HEMECELL</t>
  </si>
  <si>
    <t>CELLULOS</t>
  </si>
  <si>
    <t>HS-</t>
  </si>
  <si>
    <t>CO3-2</t>
  </si>
  <si>
    <t>HCO3-</t>
  </si>
  <si>
    <t>H2CO3</t>
  </si>
  <si>
    <t>PHENOL</t>
  </si>
  <si>
    <t>BENZENE</t>
  </si>
  <si>
    <t>CH4S</t>
  </si>
  <si>
    <t>H2S</t>
  </si>
  <si>
    <t>FROMAMID</t>
  </si>
  <si>
    <t>INDOLE</t>
  </si>
  <si>
    <t>METHANE</t>
  </si>
  <si>
    <t>HYDROGEN</t>
  </si>
  <si>
    <t>PROLINE</t>
  </si>
  <si>
    <t>ALANINE</t>
  </si>
  <si>
    <t>GLYCINE</t>
  </si>
  <si>
    <t>ASPARTIC</t>
  </si>
  <si>
    <t>GLUTAMIC</t>
  </si>
  <si>
    <t>VALINE</t>
  </si>
  <si>
    <t>ISOLEUCI</t>
  </si>
  <si>
    <t>LEUCINE</t>
  </si>
  <si>
    <t>SERINE</t>
  </si>
  <si>
    <t>THREONIN</t>
  </si>
  <si>
    <t>METHIONI</t>
  </si>
  <si>
    <t>CYSTEINE</t>
  </si>
  <si>
    <t>PHENYLAL</t>
  </si>
  <si>
    <t>TRYPTOPH</t>
  </si>
  <si>
    <t>TYROSINE</t>
  </si>
  <si>
    <t>LYSINE</t>
  </si>
  <si>
    <t>HISTIDIN</t>
  </si>
  <si>
    <t>ARGININE</t>
  </si>
  <si>
    <t>C5H7NO2</t>
  </si>
  <si>
    <t>CO2</t>
  </si>
  <si>
    <t>NH4+</t>
  </si>
  <si>
    <t>NH3</t>
  </si>
  <si>
    <t>OH-</t>
  </si>
  <si>
    <t>H+</t>
  </si>
  <si>
    <t>ISOVA-01</t>
  </si>
  <si>
    <t>ISOBU-01</t>
  </si>
  <si>
    <t>PROPI-01</t>
  </si>
  <si>
    <t>ACETI-AC</t>
  </si>
  <si>
    <t>DEXTROSE</t>
  </si>
  <si>
    <t>OLEIC-AC</t>
  </si>
  <si>
    <t>GLYCEROL</t>
  </si>
  <si>
    <t>WATER</t>
  </si>
  <si>
    <t>Mass Solid Fraction</t>
  </si>
  <si>
    <t>Mass Liquid Fraction</t>
  </si>
  <si>
    <t>Mass Vapor Fraction</t>
  </si>
  <si>
    <t>Molar Solid Fraction</t>
  </si>
  <si>
    <t>Molar Liquid Fraction</t>
  </si>
  <si>
    <t>Molar Vapor Fraction</t>
  </si>
  <si>
    <t>N/sqm</t>
  </si>
  <si>
    <t>Pressure</t>
  </si>
  <si>
    <t>K</t>
  </si>
  <si>
    <t>Temperature</t>
  </si>
  <si>
    <t>Phase</t>
  </si>
  <si>
    <t>MIXED Substream</t>
  </si>
  <si>
    <t>$/sec</t>
  </si>
  <si>
    <t>Cost Flow</t>
  </si>
  <si>
    <t>Maximum Relative Error</t>
  </si>
  <si>
    <t>CONVEN</t>
  </si>
  <si>
    <t>Stream Class</t>
  </si>
  <si>
    <t>B2</t>
  </si>
  <si>
    <t>B4</t>
  </si>
  <si>
    <t>To</t>
  </si>
  <si>
    <t>B1</t>
  </si>
  <si>
    <t>From</t>
  </si>
  <si>
    <t>Description</t>
  </si>
  <si>
    <t>S2</t>
  </si>
  <si>
    <t>S1</t>
  </si>
  <si>
    <t>NUTRIENT</t>
  </si>
  <si>
    <t>LIQUID</t>
  </si>
  <si>
    <t>INPUT</t>
  </si>
  <si>
    <t>Units</t>
  </si>
  <si>
    <t>CH3COO-</t>
  </si>
  <si>
    <t>C4.39H8NO2.1</t>
  </si>
  <si>
    <t>C13H25O7N3S</t>
  </si>
  <si>
    <t>C2H6O-2</t>
  </si>
  <si>
    <t>CELLULOSE</t>
  </si>
  <si>
    <t>C18H32O2</t>
  </si>
  <si>
    <t>C5H4O2</t>
  </si>
  <si>
    <t>C5H10O5</t>
  </si>
  <si>
    <t>C37H68O5-1</t>
  </si>
  <si>
    <t>C37H70O5-1</t>
  </si>
  <si>
    <t>C16H34O</t>
  </si>
  <si>
    <t>C51H98O6</t>
  </si>
  <si>
    <t>C57H104O6</t>
  </si>
  <si>
    <t>C6H12O6</t>
  </si>
  <si>
    <t>C5H8O4</t>
  </si>
  <si>
    <t>C6H6O</t>
  </si>
  <si>
    <t>C6H6</t>
  </si>
  <si>
    <t>CH3NO</t>
  </si>
  <si>
    <t>C8H7N</t>
  </si>
  <si>
    <t>CH4</t>
  </si>
  <si>
    <t>H2</t>
  </si>
  <si>
    <t>C5H9NO2-N8</t>
  </si>
  <si>
    <t>C3H7NO2</t>
  </si>
  <si>
    <t>C2H5NO2-D1</t>
  </si>
  <si>
    <t>C4H7NO4</t>
  </si>
  <si>
    <t>C5H9NO4</t>
  </si>
  <si>
    <t>C5H11NO2</t>
  </si>
  <si>
    <t>C6H13NO2-I</t>
  </si>
  <si>
    <t>C6H13NO2</t>
  </si>
  <si>
    <t>C3H7NO3</t>
  </si>
  <si>
    <t>C4H9NO3</t>
  </si>
  <si>
    <t>C5H11NO2S</t>
  </si>
  <si>
    <t>C3H6NO2S-E</t>
  </si>
  <si>
    <t>C9H11NO2</t>
  </si>
  <si>
    <t>C11H12N2O2</t>
  </si>
  <si>
    <t>C9H11NO3</t>
  </si>
  <si>
    <t>C6H14N2O2</t>
  </si>
  <si>
    <t>C6H8N3O2-E</t>
  </si>
  <si>
    <t>C6H14N4O2-N2</t>
  </si>
  <si>
    <t>C5H10O2-D3</t>
  </si>
  <si>
    <t>C4H8O2-4</t>
  </si>
  <si>
    <t>C3H6O2-1</t>
  </si>
  <si>
    <t>C2H4O2-1</t>
  </si>
  <si>
    <t>C18H3402</t>
  </si>
  <si>
    <t>C3H8O3</t>
  </si>
  <si>
    <t>H2O</t>
  </si>
  <si>
    <t>83% N2</t>
  </si>
  <si>
    <t>C6H10O5</t>
  </si>
  <si>
    <t>C3H7NO2S</t>
  </si>
  <si>
    <t>C6H9N3O2</t>
  </si>
  <si>
    <t>S</t>
  </si>
  <si>
    <t>N</t>
  </si>
  <si>
    <t>C</t>
  </si>
  <si>
    <t>C18H34O2</t>
  </si>
  <si>
    <t>O</t>
  </si>
  <si>
    <t>H</t>
  </si>
  <si>
    <t>N% w/out Water</t>
  </si>
  <si>
    <t>MR</t>
  </si>
  <si>
    <t>Element</t>
  </si>
  <si>
    <t>Nitrogen Mole Frac</t>
  </si>
  <si>
    <t>Total Nitrogen Mole Flow</t>
  </si>
  <si>
    <t>B3</t>
  </si>
  <si>
    <t>Liquid Outlet</t>
  </si>
  <si>
    <t>FEED</t>
  </si>
  <si>
    <t>GAS OUTLET</t>
  </si>
  <si>
    <t>Nitrogen %</t>
  </si>
  <si>
    <t>Nitrogen MR %</t>
  </si>
  <si>
    <t>Total MR</t>
  </si>
  <si>
    <t>Chemical Formula</t>
  </si>
  <si>
    <t>BIOGAS</t>
  </si>
  <si>
    <t>mol/hr</t>
  </si>
  <si>
    <t>l/hr</t>
  </si>
  <si>
    <t>Molecular Mass</t>
  </si>
  <si>
    <t>Formula</t>
  </si>
  <si>
    <t>Alias</t>
  </si>
  <si>
    <t>H3N</t>
  </si>
  <si>
    <t>NH2COONH4</t>
  </si>
  <si>
    <t>NH4HS</t>
  </si>
  <si>
    <t>NH4HCO3</t>
  </si>
  <si>
    <t>S-2</t>
  </si>
  <si>
    <t>NH2COO-</t>
  </si>
  <si>
    <t>HPO4-2</t>
  </si>
  <si>
    <t>PO4-3</t>
  </si>
  <si>
    <t>(NH4)2HPO4</t>
  </si>
  <si>
    <t>NH6PO4</t>
  </si>
  <si>
    <t>MG+2</t>
  </si>
  <si>
    <t>FE+3</t>
  </si>
  <si>
    <t>FE+2</t>
  </si>
  <si>
    <t>CA+2</t>
  </si>
  <si>
    <t>Molar Mass</t>
  </si>
  <si>
    <t>Fe</t>
  </si>
  <si>
    <t>Ca</t>
  </si>
  <si>
    <t>C5H9NO2</t>
  </si>
  <si>
    <t>C2H5NO2</t>
  </si>
  <si>
    <t>C3H6NO2S</t>
  </si>
  <si>
    <t>C6H14N4O2</t>
  </si>
  <si>
    <t>C5H10O2</t>
  </si>
  <si>
    <t>C4H8O2</t>
  </si>
  <si>
    <t>C3H6O2</t>
  </si>
  <si>
    <t>C2H4O2</t>
  </si>
  <si>
    <t>CO3--</t>
  </si>
  <si>
    <t>C37H70O5</t>
  </si>
  <si>
    <t>C37H68O5</t>
  </si>
  <si>
    <t>C(4.89)H8NO(2.1)S(0.67)</t>
  </si>
  <si>
    <t>C2H6O</t>
  </si>
  <si>
    <t>C5H10NO2-</t>
  </si>
  <si>
    <t>C6H12NO2-</t>
  </si>
  <si>
    <t>C5H8NO2-</t>
  </si>
  <si>
    <t>C9H10NO3-</t>
  </si>
  <si>
    <t>C11H11N2O2-</t>
  </si>
  <si>
    <t>C6H13N4O2-</t>
  </si>
  <si>
    <t>C6H13N2O2-</t>
  </si>
  <si>
    <t>C9H10NO2-</t>
  </si>
  <si>
    <t>C5H10NO2S-</t>
  </si>
  <si>
    <t>C4H8NO3</t>
  </si>
  <si>
    <t>C4H8NO3-</t>
  </si>
  <si>
    <t>C6H8N3O2</t>
  </si>
  <si>
    <t>x</t>
  </si>
  <si>
    <t>P</t>
  </si>
  <si>
    <t>Mg</t>
  </si>
  <si>
    <t>NH4MgPO4.6H2O</t>
  </si>
  <si>
    <t>Organic</t>
  </si>
  <si>
    <t>Non Organic</t>
  </si>
  <si>
    <t>Nitrogen Mol Flow</t>
  </si>
  <si>
    <t>g/mol</t>
  </si>
  <si>
    <t xml:space="preserve">Nitrogen mass fraction </t>
  </si>
  <si>
    <t>Total Nitrogen</t>
  </si>
  <si>
    <t>Organic flow (mol/hr)</t>
  </si>
  <si>
    <t>Inorganic flow (mol/hr)</t>
  </si>
  <si>
    <t>Organic concentration (g/l)</t>
  </si>
  <si>
    <t>Inorganic concentration (g/l)</t>
  </si>
  <si>
    <t>Organic  mol frac (%)</t>
  </si>
  <si>
    <t>Inorganic mol frac (%)</t>
  </si>
  <si>
    <t>soluble</t>
  </si>
  <si>
    <t>non soluble</t>
  </si>
  <si>
    <t>Soluble flow (mol/hr)</t>
  </si>
  <si>
    <t>Non-Soluble flow (mol/hr)</t>
  </si>
  <si>
    <t>Soluble mol frac (%)</t>
  </si>
  <si>
    <t>Non-Soluble mol frac (%)</t>
  </si>
  <si>
    <t>Soluble concentration (mol/l)</t>
  </si>
  <si>
    <t>Non soluble concentration (mol/l)</t>
  </si>
  <si>
    <t xml:space="preserve">Carbon molar mass fraction </t>
  </si>
  <si>
    <t>Carbon Mol Flow</t>
  </si>
  <si>
    <t xml:space="preserve">K molar mass fraction </t>
  </si>
  <si>
    <t>K Mol Flow</t>
  </si>
  <si>
    <t xml:space="preserve">P molar mass fraction </t>
  </si>
  <si>
    <t>P Mol Flow</t>
  </si>
  <si>
    <t>Carbon</t>
  </si>
  <si>
    <t>Nitrogen</t>
  </si>
  <si>
    <t xml:space="preserve">Mg molar mass fraction </t>
  </si>
  <si>
    <t>Mg Mol Flow</t>
  </si>
  <si>
    <t xml:space="preserve">Ca molar mass fraction </t>
  </si>
  <si>
    <t>Ca Mol Flow</t>
  </si>
  <si>
    <t xml:space="preserve">S molar mass fraction </t>
  </si>
  <si>
    <t>S Mol Flow</t>
  </si>
  <si>
    <t xml:space="preserve">H+ </t>
  </si>
  <si>
    <t xml:space="preserve">Molar Flow </t>
  </si>
  <si>
    <t>Concentration</t>
  </si>
  <si>
    <t>pH</t>
  </si>
  <si>
    <t>HCL</t>
  </si>
  <si>
    <t>CL-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</si>
</sst>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E+00"/>
  </numFmts>
  <fonts count="1" x14ac:knownFonts="1"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11" fontId="0" fillId="0" borderId="0" xfId="0" applyNumberFormat="1"/>
    <xf numFmtId="0" fontId="0" fillId="0" borderId="0" xfId="0" applyNumberFormat="1"/>
    <xf numFmtId="0" fontId="0" fillId="2" borderId="0" xfId="0" applyFill="1"/>
    <xf numFmtId="0" fontId="0" fillId="3" borderId="0" xfId="0" applyFill="1"/>
    <xf numFmtId="164" fontId="0" fillId="0" borderId="0" xfId="0" applyNumberFormat="1"/>
    <xf numFmtId="0" fontId="0" fillId="4" borderId="0" xfId="0" applyFill="1"/>
    <xf numFmtId="11" fontId="0" fillId="4" borderId="0" xfId="0" applyNumberFormat="1" applyFill="1"/>
    <xf numFmtId="164" fontId="0" fillId="4" borderId="0" xfId="0" applyNumberFormat="1" applyFill="1"/>
    <xf numFmtId="0" fontId="0" fillId="0" borderId="0" xfId="0" applyFill="1"/>
    <xf numFmtId="0" fontId="0" fillId="5" borderId="0" xfId="0" applyFill="1"/>
    <xf numFmtId="11" fontId="0" fillId="3" borderId="0" xfId="0" applyNumberFormat="1" applyFill="1"/>
    <xf numFmtId="164" fontId="0" fillId="3" borderId="0" xfId="0" applyNumberFormat="1" applyFill="1"/>
    <xf numFmtId="11" fontId="0" fillId="0" borderId="0" xfId="0" applyNumberFormat="1" applyFill="1"/>
    <xf numFmtId="164" fontId="0" fillId="0" borderId="0" xfId="0" applyNumberFormat="1" applyFill="1"/>
    <xf numFmtId="164" fontId="0" fillId="5" borderId="0" xfId="0" applyNumberFormat="1" applyFill="1"/>
    <xf numFmtId="11" fontId="0" fillId="5" borderId="0" xfId="0" applyNumberFormat="1" applyFill="1"/>
    <xf numFmtId="0" fontId="0" fillId="6" borderId="0" xfId="0" applyFill="1"/>
    <xf numFmtId="164" fontId="0" fillId="6" borderId="0" xfId="0" applyNumberFormat="1" applyFill="1"/>
    <xf numFmtId="11" fontId="0" fillId="6" borderId="0" xfId="0" applyNumberFormat="1" applyFill="1"/>
    <xf numFmtId="0" fontId="0" fillId="7" borderId="0" xfId="0" applyFill="1"/>
    <xf numFmtId="11" fontId="0" fillId="7" borderId="0" xfId="0" applyNumberFormat="1" applyFill="1"/>
    <xf numFmtId="164" fontId="0" fillId="7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7"/>
  </sheetPr>
  <dimension ref="A1:R301"/>
  <sheetViews>
    <sheetView topLeftCell="A53" workbookViewId="0">
      <selection activeCell="H71" sqref="H71"/>
    </sheetView>
  </sheetViews>
  <sheetFormatPr defaultRowHeight="15" x14ac:dyDescent="0.25"/>
  <cols>
    <col min="1" max="1" width="22.7109375" bestFit="1" customWidth="1"/>
    <col min="3" max="6" width="9.140625" hidden="1" customWidth="1"/>
    <col min="8" max="8" width="17" bestFit="1" customWidth="1"/>
    <col min="10" max="10" width="23.85546875" bestFit="1" customWidth="1"/>
    <col min="11" max="11" width="12" bestFit="1" customWidth="1"/>
    <col min="12" max="12" width="23.85546875" bestFit="1" customWidth="1"/>
    <col min="13" max="13" width="12" bestFit="1" customWidth="1"/>
    <col min="14" max="14" width="18.140625" bestFit="1" customWidth="1"/>
  </cols>
  <sheetData>
    <row r="1" spans="1:11" x14ac:dyDescent="0.25">
      <c r="B1" t="s">
        <v>171</v>
      </c>
      <c r="C1">
        <v>5</v>
      </c>
      <c r="D1">
        <v>6</v>
      </c>
      <c r="E1" t="s">
        <v>241</v>
      </c>
      <c r="F1" t="s">
        <v>170</v>
      </c>
      <c r="G1" t="s">
        <v>169</v>
      </c>
      <c r="H1" t="s">
        <v>240</v>
      </c>
      <c r="I1" t="s">
        <v>239</v>
      </c>
      <c r="J1" t="s">
        <v>238</v>
      </c>
      <c r="K1" t="s">
        <v>237</v>
      </c>
    </row>
    <row r="2" spans="1:11" hidden="1" x14ac:dyDescent="0.25">
      <c r="A2" t="s">
        <v>165</v>
      </c>
      <c r="E2" t="s">
        <v>236</v>
      </c>
      <c r="F2" t="s">
        <v>235</v>
      </c>
      <c r="G2" t="s">
        <v>234</v>
      </c>
    </row>
    <row r="3" spans="1:11" hidden="1" x14ac:dyDescent="0.25">
      <c r="A3" t="s">
        <v>164</v>
      </c>
      <c r="C3" t="s">
        <v>233</v>
      </c>
      <c r="D3" t="s">
        <v>160</v>
      </c>
      <c r="E3" t="s">
        <v>163</v>
      </c>
      <c r="G3" t="s">
        <v>163</v>
      </c>
    </row>
    <row r="4" spans="1:11" hidden="1" x14ac:dyDescent="0.25">
      <c r="A4" t="s">
        <v>162</v>
      </c>
      <c r="C4" t="s">
        <v>163</v>
      </c>
      <c r="D4" t="s">
        <v>233</v>
      </c>
      <c r="F4" t="s">
        <v>160</v>
      </c>
    </row>
    <row r="5" spans="1:11" hidden="1" x14ac:dyDescent="0.25">
      <c r="A5" t="s">
        <v>159</v>
      </c>
      <c r="C5" t="s">
        <v>158</v>
      </c>
      <c r="D5" t="s">
        <v>158</v>
      </c>
      <c r="E5" t="s">
        <v>158</v>
      </c>
      <c r="F5" t="s">
        <v>158</v>
      </c>
      <c r="G5" t="s">
        <v>158</v>
      </c>
    </row>
    <row r="6" spans="1:11" hidden="1" x14ac:dyDescent="0.25">
      <c r="A6" t="s">
        <v>157</v>
      </c>
    </row>
    <row r="7" spans="1:11" hidden="1" x14ac:dyDescent="0.25">
      <c r="A7" t="s">
        <v>156</v>
      </c>
      <c r="B7" t="s">
        <v>155</v>
      </c>
    </row>
    <row r="8" spans="1:11" hidden="1" x14ac:dyDescent="0.25">
      <c r="A8" t="s">
        <v>154</v>
      </c>
    </row>
    <row r="9" spans="1:11" hidden="1" x14ac:dyDescent="0.25">
      <c r="A9" t="s">
        <v>153</v>
      </c>
      <c r="C9" t="s">
        <v>22</v>
      </c>
      <c r="D9" t="s">
        <v>22</v>
      </c>
      <c r="E9" t="s">
        <v>23</v>
      </c>
      <c r="F9" t="s">
        <v>22</v>
      </c>
      <c r="G9" t="s">
        <v>22</v>
      </c>
    </row>
    <row r="10" spans="1:11" hidden="1" x14ac:dyDescent="0.25">
      <c r="A10" t="s">
        <v>152</v>
      </c>
      <c r="B10" t="s">
        <v>151</v>
      </c>
      <c r="C10">
        <v>328.15</v>
      </c>
      <c r="D10">
        <v>296.20298204980003</v>
      </c>
      <c r="E10">
        <v>328.15</v>
      </c>
      <c r="F10">
        <v>296.14999999999998</v>
      </c>
      <c r="G10">
        <v>328.15</v>
      </c>
    </row>
    <row r="11" spans="1:11" hidden="1" x14ac:dyDescent="0.25">
      <c r="A11" t="s">
        <v>150</v>
      </c>
      <c r="B11" t="s">
        <v>149</v>
      </c>
      <c r="C11">
        <v>102300</v>
      </c>
      <c r="D11">
        <v>100000</v>
      </c>
      <c r="E11">
        <v>101325</v>
      </c>
      <c r="F11">
        <v>101325</v>
      </c>
      <c r="G11">
        <v>101325</v>
      </c>
    </row>
    <row r="12" spans="1:11" hidden="1" x14ac:dyDescent="0.25">
      <c r="A12" t="s">
        <v>148</v>
      </c>
      <c r="C12">
        <v>0</v>
      </c>
      <c r="D12">
        <v>0</v>
      </c>
      <c r="E12">
        <v>1</v>
      </c>
      <c r="F12">
        <v>0</v>
      </c>
      <c r="G12">
        <v>0</v>
      </c>
    </row>
    <row r="13" spans="1:11" hidden="1" x14ac:dyDescent="0.25">
      <c r="A13" t="s">
        <v>147</v>
      </c>
      <c r="C13">
        <v>1</v>
      </c>
      <c r="D13">
        <v>1</v>
      </c>
      <c r="E13">
        <v>0</v>
      </c>
      <c r="F13">
        <v>1</v>
      </c>
      <c r="G13">
        <v>1</v>
      </c>
    </row>
    <row r="14" spans="1:11" hidden="1" x14ac:dyDescent="0.25">
      <c r="A14" t="s">
        <v>146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11" hidden="1" x14ac:dyDescent="0.25">
      <c r="A15" t="s">
        <v>145</v>
      </c>
      <c r="C15">
        <v>0</v>
      </c>
      <c r="D15">
        <v>0</v>
      </c>
      <c r="E15">
        <v>1</v>
      </c>
      <c r="F15">
        <v>0</v>
      </c>
      <c r="G15">
        <v>0</v>
      </c>
    </row>
    <row r="16" spans="1:11" hidden="1" x14ac:dyDescent="0.25">
      <c r="A16" t="s">
        <v>144</v>
      </c>
      <c r="C16">
        <v>1</v>
      </c>
      <c r="D16">
        <v>1</v>
      </c>
      <c r="E16">
        <v>0</v>
      </c>
      <c r="F16">
        <v>1</v>
      </c>
      <c r="G16">
        <v>1</v>
      </c>
    </row>
    <row r="17" spans="1:18" hidden="1" x14ac:dyDescent="0.25">
      <c r="A17" t="s">
        <v>143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18" hidden="1" x14ac:dyDescent="0.25">
      <c r="A18" t="s">
        <v>21</v>
      </c>
      <c r="B18" t="s">
        <v>20</v>
      </c>
      <c r="C18">
        <v>-285634430.79890603</v>
      </c>
      <c r="D18">
        <v>-288132705.19655597</v>
      </c>
      <c r="E18">
        <v>-194112082.36968401</v>
      </c>
      <c r="F18">
        <v>-288132705.19655597</v>
      </c>
      <c r="G18">
        <v>-283727882.92068303</v>
      </c>
    </row>
    <row r="19" spans="1:18" hidden="1" x14ac:dyDescent="0.25">
      <c r="A19" t="s">
        <v>19</v>
      </c>
      <c r="B19" t="s">
        <v>18</v>
      </c>
      <c r="C19">
        <v>-15127616.236327</v>
      </c>
      <c r="D19">
        <v>-15249961.832641101</v>
      </c>
      <c r="E19">
        <v>-7845904.8385016099</v>
      </c>
      <c r="F19">
        <v>-15249961.832641101</v>
      </c>
      <c r="G19">
        <v>-15266287.6294135</v>
      </c>
    </row>
    <row r="20" spans="1:18" hidden="1" x14ac:dyDescent="0.25">
      <c r="A20" t="s">
        <v>17</v>
      </c>
      <c r="B20" t="s">
        <v>16</v>
      </c>
      <c r="C20">
        <v>-157643.50142000301</v>
      </c>
      <c r="D20">
        <v>-166101.26922396701</v>
      </c>
      <c r="E20">
        <v>-38400.983597944003</v>
      </c>
      <c r="F20">
        <v>-166115.37986259101</v>
      </c>
      <c r="G20">
        <v>-156278.58610077301</v>
      </c>
    </row>
    <row r="21" spans="1:18" hidden="1" x14ac:dyDescent="0.25">
      <c r="A21" t="s">
        <v>15</v>
      </c>
      <c r="B21" t="s">
        <v>14</v>
      </c>
      <c r="C21">
        <v>-8349.0298594696396</v>
      </c>
      <c r="D21">
        <v>-8791.2200535887405</v>
      </c>
      <c r="E21">
        <v>-1552.14687996869</v>
      </c>
      <c r="F21">
        <v>-8791.9668855053405</v>
      </c>
      <c r="G21">
        <v>-8408.7394625202305</v>
      </c>
    </row>
    <row r="22" spans="1:18" hidden="1" x14ac:dyDescent="0.25">
      <c r="A22" t="s">
        <v>13</v>
      </c>
      <c r="B22" t="s">
        <v>12</v>
      </c>
      <c r="C22">
        <v>51.622035350220699</v>
      </c>
      <c r="D22">
        <v>53.174879564172798</v>
      </c>
      <c r="E22">
        <v>3.7137866090640702E-2</v>
      </c>
      <c r="F22">
        <v>53.177565384226</v>
      </c>
      <c r="G22">
        <v>51.982989141575104</v>
      </c>
    </row>
    <row r="23" spans="1:18" hidden="1" x14ac:dyDescent="0.25">
      <c r="A23" t="s">
        <v>11</v>
      </c>
      <c r="B23" t="s">
        <v>10</v>
      </c>
      <c r="C23">
        <v>974.70946205873599</v>
      </c>
      <c r="D23">
        <v>1004.6859176088</v>
      </c>
      <c r="E23">
        <v>0.91881161829098401</v>
      </c>
      <c r="F23">
        <v>1004.73666347991</v>
      </c>
      <c r="G23">
        <v>966.11722607735203</v>
      </c>
    </row>
    <row r="24" spans="1:18" hidden="1" x14ac:dyDescent="0.25">
      <c r="A24" t="s">
        <v>9</v>
      </c>
      <c r="B24" t="s">
        <v>8</v>
      </c>
      <c r="C24">
        <v>-58.5805197806541</v>
      </c>
      <c r="D24">
        <v>-59.054296196581703</v>
      </c>
      <c r="E24">
        <v>-0.57219802542697895</v>
      </c>
      <c r="F24">
        <v>-59.054296196581703</v>
      </c>
      <c r="G24">
        <v>-57.983943007059899</v>
      </c>
    </row>
    <row r="25" spans="1:18" hidden="1" x14ac:dyDescent="0.25">
      <c r="A25" t="s">
        <v>7</v>
      </c>
      <c r="C25">
        <v>18.881655003449399</v>
      </c>
      <c r="D25">
        <v>18.893995169209902</v>
      </c>
      <c r="E25">
        <v>24.740560377068601</v>
      </c>
      <c r="F25">
        <v>18.893995169209902</v>
      </c>
      <c r="G25">
        <v>18.5852572549482</v>
      </c>
    </row>
    <row r="26" spans="1:18" ht="18" customHeight="1" x14ac:dyDescent="0.25">
      <c r="A26" t="s">
        <v>6</v>
      </c>
      <c r="B26" t="s">
        <v>5</v>
      </c>
      <c r="C26">
        <v>7.3832090417287903E-4</v>
      </c>
      <c r="D26">
        <v>7.3783871970613799E-4</v>
      </c>
      <c r="E26" s="1">
        <v>1.0611976680637799E-5</v>
      </c>
      <c r="F26">
        <v>7.3783871970613799E-4</v>
      </c>
      <c r="G26">
        <v>7.3571265776430301E-4</v>
      </c>
      <c r="L26" t="s">
        <v>232</v>
      </c>
      <c r="M26" s="4">
        <f>SUM(K27:K87)</f>
        <v>1.3466067473238929E-6</v>
      </c>
      <c r="N26" t="s">
        <v>231</v>
      </c>
      <c r="O26" s="4">
        <f>M26/G26</f>
        <v>1.830343318294925E-3</v>
      </c>
      <c r="Q26" t="s">
        <v>230</v>
      </c>
      <c r="R26" t="s">
        <v>229</v>
      </c>
    </row>
    <row r="27" spans="1:18" x14ac:dyDescent="0.25">
      <c r="A27" t="s">
        <v>142</v>
      </c>
      <c r="B27" t="s">
        <v>5</v>
      </c>
      <c r="C27">
        <v>7.2833503851422597E-4</v>
      </c>
      <c r="D27">
        <v>7.2902406089219297E-4</v>
      </c>
      <c r="E27" s="1">
        <v>1.6403164969122201E-6</v>
      </c>
      <c r="F27">
        <v>7.2902406089219297E-4</v>
      </c>
      <c r="G27">
        <v>7.2801294048388196E-4</v>
      </c>
      <c r="H27" t="s">
        <v>217</v>
      </c>
      <c r="I27">
        <f>(R27*2)+R28</f>
        <v>18</v>
      </c>
      <c r="K27">
        <f t="shared" ref="K27:K58" si="0">G27*J27</f>
        <v>0</v>
      </c>
      <c r="N27" t="s">
        <v>228</v>
      </c>
      <c r="O27" s="3">
        <f>M26/(G26-G27)</f>
        <v>0.17489041458029425</v>
      </c>
      <c r="Q27" t="s">
        <v>227</v>
      </c>
      <c r="R27">
        <v>1</v>
      </c>
    </row>
    <row r="28" spans="1:18" x14ac:dyDescent="0.25">
      <c r="A28" t="s">
        <v>141</v>
      </c>
      <c r="B28" t="s">
        <v>5</v>
      </c>
      <c r="C28" s="1">
        <v>2.2353208918208999E-8</v>
      </c>
      <c r="D28" s="1">
        <v>2.0305015608947001E-8</v>
      </c>
      <c r="E28" s="1">
        <v>8.4733787107294398E-16</v>
      </c>
      <c r="F28" s="1">
        <v>2.0305015608947001E-8</v>
      </c>
      <c r="G28" s="1">
        <v>1.7562798317831599E-8</v>
      </c>
      <c r="H28" t="s">
        <v>216</v>
      </c>
      <c r="I28">
        <f>($R$29*3)+($R$27*8)+($R$28*3)</f>
        <v>92</v>
      </c>
      <c r="K28">
        <f t="shared" si="0"/>
        <v>0</v>
      </c>
      <c r="Q28" t="s">
        <v>226</v>
      </c>
      <c r="R28">
        <v>16</v>
      </c>
    </row>
    <row r="29" spans="1:18" x14ac:dyDescent="0.25">
      <c r="A29" t="s">
        <v>140</v>
      </c>
      <c r="B29" t="s">
        <v>5</v>
      </c>
      <c r="C29" s="1">
        <v>1.72784131503317E-9</v>
      </c>
      <c r="D29" s="1">
        <v>1.71437482709018E-11</v>
      </c>
      <c r="E29" s="1">
        <v>3.16361392285646E-19</v>
      </c>
      <c r="F29" s="1">
        <v>1.71437482709018E-11</v>
      </c>
      <c r="G29" s="1">
        <v>4.6481966828953203E-10</v>
      </c>
      <c r="H29" t="s">
        <v>225</v>
      </c>
      <c r="I29">
        <f>($R$29*18)+($R$27*34)+($R$28*2)</f>
        <v>282</v>
      </c>
      <c r="K29">
        <f t="shared" si="0"/>
        <v>0</v>
      </c>
      <c r="Q29" t="s">
        <v>224</v>
      </c>
      <c r="R29">
        <v>12</v>
      </c>
    </row>
    <row r="30" spans="1:18" x14ac:dyDescent="0.25">
      <c r="A30" t="s">
        <v>139</v>
      </c>
      <c r="B30" t="s">
        <v>5</v>
      </c>
      <c r="C30" s="1">
        <v>1.47363446143782E-6</v>
      </c>
      <c r="D30" s="1">
        <v>1.3021890190405899E-6</v>
      </c>
      <c r="E30" s="1">
        <v>7.3055595976847598E-20</v>
      </c>
      <c r="F30" s="1">
        <v>1.3021890190405899E-6</v>
      </c>
      <c r="G30" s="1">
        <v>2.8367044366023599E-7</v>
      </c>
      <c r="H30" t="s">
        <v>185</v>
      </c>
      <c r="I30">
        <f>($R$29*6)+($R$27*12)+($R$28*6)</f>
        <v>180</v>
      </c>
      <c r="K30">
        <f t="shared" si="0"/>
        <v>0</v>
      </c>
      <c r="Q30" t="s">
        <v>223</v>
      </c>
      <c r="R30">
        <v>14</v>
      </c>
    </row>
    <row r="31" spans="1:18" x14ac:dyDescent="0.25">
      <c r="A31" t="s">
        <v>138</v>
      </c>
      <c r="B31" t="s">
        <v>5</v>
      </c>
      <c r="C31" s="1">
        <v>3.1549764903745202E-6</v>
      </c>
      <c r="D31" s="1">
        <v>1.4107886862046399E-6</v>
      </c>
      <c r="E31" s="1">
        <v>2.43570133002943E-9</v>
      </c>
      <c r="F31" s="1">
        <v>1.4107886862046399E-6</v>
      </c>
      <c r="G31" s="1">
        <v>8.0048009857462103E-7</v>
      </c>
      <c r="H31" t="s">
        <v>214</v>
      </c>
      <c r="I31">
        <f>($R$29*2)+($R$27*4)+($R$28*2)</f>
        <v>60</v>
      </c>
      <c r="K31">
        <f t="shared" si="0"/>
        <v>0</v>
      </c>
      <c r="Q31" t="s">
        <v>222</v>
      </c>
      <c r="R31">
        <v>32</v>
      </c>
    </row>
    <row r="32" spans="1:18" x14ac:dyDescent="0.25">
      <c r="A32" t="s">
        <v>137</v>
      </c>
      <c r="B32" t="s">
        <v>5</v>
      </c>
      <c r="C32" s="1">
        <v>2.4489443865755801E-8</v>
      </c>
      <c r="D32" s="1">
        <v>2.4489443865755801E-8</v>
      </c>
      <c r="E32" s="1">
        <v>1.5631195815520899E-9</v>
      </c>
      <c r="F32" s="1">
        <v>2.4489443865755801E-8</v>
      </c>
      <c r="G32" s="1">
        <v>6.1894745288441197E-7</v>
      </c>
      <c r="H32" t="s">
        <v>213</v>
      </c>
      <c r="I32">
        <f>($R$29*3)+($R$27*6)+($R$28*2)</f>
        <v>74</v>
      </c>
      <c r="K32">
        <f t="shared" si="0"/>
        <v>0</v>
      </c>
    </row>
    <row r="33" spans="1:11" x14ac:dyDescent="0.25">
      <c r="A33" t="s">
        <v>136</v>
      </c>
      <c r="B33" t="s">
        <v>5</v>
      </c>
      <c r="C33" s="1">
        <v>2.0273847184619001E-8</v>
      </c>
      <c r="D33" s="1">
        <v>2.0273847184619001E-8</v>
      </c>
      <c r="E33" s="1">
        <v>1.4623755451369801E-10</v>
      </c>
      <c r="F33" s="1">
        <v>2.0273847184619001E-8</v>
      </c>
      <c r="G33" s="1">
        <v>2.5909376900189898E-7</v>
      </c>
      <c r="H33" t="s">
        <v>212</v>
      </c>
      <c r="I33">
        <f>($R$29*4)+($R$27*8)+($R$28*2)</f>
        <v>88</v>
      </c>
      <c r="K33">
        <f t="shared" si="0"/>
        <v>0</v>
      </c>
    </row>
    <row r="34" spans="1:11" x14ac:dyDescent="0.25">
      <c r="A34" t="s">
        <v>135</v>
      </c>
      <c r="B34" t="s">
        <v>5</v>
      </c>
      <c r="C34">
        <v>0</v>
      </c>
      <c r="D34" s="1">
        <v>2.9923365457263501E-12</v>
      </c>
      <c r="E34" s="1">
        <v>1.31954763749412E-15</v>
      </c>
      <c r="F34" s="1">
        <v>2.9923365457263501E-12</v>
      </c>
      <c r="G34" s="1">
        <v>3.76341017331585E-13</v>
      </c>
      <c r="H34" t="s">
        <v>211</v>
      </c>
      <c r="I34">
        <f>($R$29*5)+($R$27*10)+($R$28*2)</f>
        <v>102</v>
      </c>
      <c r="K34">
        <f t="shared" si="0"/>
        <v>0</v>
      </c>
    </row>
    <row r="35" spans="1:11" x14ac:dyDescent="0.25">
      <c r="A35" t="s">
        <v>134</v>
      </c>
      <c r="B35" t="s">
        <v>5</v>
      </c>
      <c r="C35">
        <v>0</v>
      </c>
      <c r="D35">
        <v>0</v>
      </c>
      <c r="E35">
        <v>0</v>
      </c>
      <c r="F35">
        <v>0</v>
      </c>
      <c r="G35">
        <v>0</v>
      </c>
      <c r="H35" t="s">
        <v>134</v>
      </c>
      <c r="I35">
        <v>1</v>
      </c>
      <c r="K35">
        <f t="shared" si="0"/>
        <v>0</v>
      </c>
    </row>
    <row r="36" spans="1:11" x14ac:dyDescent="0.25">
      <c r="A36" t="s">
        <v>133</v>
      </c>
      <c r="B36" t="s">
        <v>5</v>
      </c>
      <c r="C36">
        <v>0</v>
      </c>
      <c r="D36">
        <v>0</v>
      </c>
      <c r="E36">
        <v>0</v>
      </c>
      <c r="F36">
        <v>0</v>
      </c>
      <c r="G36">
        <v>0</v>
      </c>
      <c r="H36" t="s">
        <v>133</v>
      </c>
      <c r="I36">
        <f>(R28)+(R27)</f>
        <v>17</v>
      </c>
      <c r="K36">
        <f t="shared" si="0"/>
        <v>0</v>
      </c>
    </row>
    <row r="37" spans="1:11" x14ac:dyDescent="0.25">
      <c r="A37" t="s">
        <v>132</v>
      </c>
      <c r="B37" t="s">
        <v>5</v>
      </c>
      <c r="C37" s="1">
        <v>3.0257214221873603E-8</v>
      </c>
      <c r="D37" s="1">
        <v>5.0639896283582797E-12</v>
      </c>
      <c r="E37" s="1">
        <v>5.7335002676746804E-16</v>
      </c>
      <c r="F37" s="1">
        <v>5.0639896283582797E-12</v>
      </c>
      <c r="G37" s="1">
        <v>1.31159946918724E-14</v>
      </c>
      <c r="H37" t="s">
        <v>132</v>
      </c>
      <c r="I37">
        <f>($R$30)+($R$27*3)</f>
        <v>17</v>
      </c>
      <c r="K37">
        <f t="shared" si="0"/>
        <v>0</v>
      </c>
    </row>
    <row r="38" spans="1:11" x14ac:dyDescent="0.25">
      <c r="A38" t="s">
        <v>131</v>
      </c>
      <c r="B38" t="s">
        <v>5</v>
      </c>
      <c r="C38">
        <v>0</v>
      </c>
      <c r="D38">
        <v>0</v>
      </c>
      <c r="E38">
        <v>0</v>
      </c>
      <c r="F38">
        <v>0</v>
      </c>
      <c r="G38">
        <v>0</v>
      </c>
      <c r="H38" t="s">
        <v>131</v>
      </c>
      <c r="I38">
        <f>($R$30)+($R$27*4)</f>
        <v>18</v>
      </c>
      <c r="K38">
        <f t="shared" si="0"/>
        <v>0</v>
      </c>
    </row>
    <row r="39" spans="1:11" x14ac:dyDescent="0.25">
      <c r="A39" t="s">
        <v>130</v>
      </c>
      <c r="B39" t="s">
        <v>5</v>
      </c>
      <c r="C39" s="1">
        <v>1.6155841827901501E-6</v>
      </c>
      <c r="D39" s="1">
        <v>1.6992904756249799E-6</v>
      </c>
      <c r="E39" s="1">
        <v>3.1422484730714499E-6</v>
      </c>
      <c r="F39" s="1">
        <v>1.6992904756249799E-6</v>
      </c>
      <c r="G39" s="1">
        <v>1.68939992368533E-6</v>
      </c>
      <c r="H39" t="s">
        <v>130</v>
      </c>
      <c r="I39">
        <f>R29+(R27*2)</f>
        <v>14</v>
      </c>
      <c r="K39">
        <f t="shared" si="0"/>
        <v>0</v>
      </c>
    </row>
    <row r="40" spans="1:11" x14ac:dyDescent="0.25">
      <c r="A40" t="s">
        <v>129</v>
      </c>
      <c r="B40" t="s">
        <v>5</v>
      </c>
      <c r="C40" s="1">
        <v>2.8868526585564699E-8</v>
      </c>
      <c r="D40" s="1">
        <v>2.8868526585564699E-8</v>
      </c>
      <c r="E40" s="1">
        <v>5.9033396209417202E-12</v>
      </c>
      <c r="F40" s="1">
        <v>2.8868526585564699E-8</v>
      </c>
      <c r="G40" s="1">
        <v>2.5827253367996398E-7</v>
      </c>
      <c r="H40" t="s">
        <v>129</v>
      </c>
      <c r="I40">
        <f>($R$29*5)+($R$27*7)+($R$30*1)+($R$28*2)</f>
        <v>113</v>
      </c>
      <c r="J40">
        <f>$R$30/I40</f>
        <v>0.12389380530973451</v>
      </c>
      <c r="K40" s="1">
        <f t="shared" si="0"/>
        <v>3.1998367004597305E-8</v>
      </c>
    </row>
    <row r="41" spans="1:11" x14ac:dyDescent="0.25">
      <c r="A41" t="s">
        <v>128</v>
      </c>
      <c r="B41" t="s">
        <v>5</v>
      </c>
      <c r="C41" s="1">
        <v>3.8655660409178103E-9</v>
      </c>
      <c r="D41" s="1">
        <v>3.8612228621680201E-9</v>
      </c>
      <c r="E41" s="1">
        <v>2.06377269015116E-17</v>
      </c>
      <c r="F41" s="1">
        <v>3.8612228621680201E-9</v>
      </c>
      <c r="G41" s="1">
        <v>4.3723015135412903E-9</v>
      </c>
      <c r="H41" t="s">
        <v>210</v>
      </c>
      <c r="I41">
        <f>($R$29*6)+($R$27*14)+($R$30*4)+($R$28*2)</f>
        <v>174</v>
      </c>
      <c r="J41">
        <f>$R$30*4/I41</f>
        <v>0.32183908045977011</v>
      </c>
      <c r="K41">
        <f t="shared" si="0"/>
        <v>1.40717749861099E-9</v>
      </c>
    </row>
    <row r="42" spans="1:11" x14ac:dyDescent="0.25">
      <c r="A42" t="s">
        <v>127</v>
      </c>
      <c r="B42" t="s">
        <v>5</v>
      </c>
      <c r="C42">
        <v>0</v>
      </c>
      <c r="D42" s="1">
        <v>1.6652377761184499E-19</v>
      </c>
      <c r="E42" s="1">
        <v>1.2855355586249699E-18</v>
      </c>
      <c r="F42" s="1">
        <v>1.6652377761184499E-19</v>
      </c>
      <c r="G42" s="1">
        <v>2.7235310824252502E-10</v>
      </c>
      <c r="H42" t="s">
        <v>221</v>
      </c>
      <c r="I42">
        <f>($R$29*6)+($R$27*9)+($R$30*3)+($R$28*2)</f>
        <v>155</v>
      </c>
      <c r="J42">
        <f>$R$30*3/I42</f>
        <v>0.2709677419354839</v>
      </c>
      <c r="K42">
        <f t="shared" si="0"/>
        <v>7.3798906749587434E-11</v>
      </c>
    </row>
    <row r="43" spans="1:11" x14ac:dyDescent="0.25">
      <c r="A43" t="s">
        <v>126</v>
      </c>
      <c r="B43" t="s">
        <v>5</v>
      </c>
      <c r="C43">
        <v>0</v>
      </c>
      <c r="D43">
        <v>0</v>
      </c>
      <c r="E43" s="1">
        <v>7.1922559047414297E-19</v>
      </c>
      <c r="F43">
        <v>0</v>
      </c>
      <c r="G43" s="1">
        <v>1.5270945440284499E-10</v>
      </c>
      <c r="H43" t="s">
        <v>208</v>
      </c>
      <c r="I43">
        <f>($R$29*6)+($R$27*14)+($R$30*2)+($R$28*2)</f>
        <v>146</v>
      </c>
      <c r="J43">
        <f>$R$30*2/I43</f>
        <v>0.19178082191780821</v>
      </c>
      <c r="K43">
        <f t="shared" si="0"/>
        <v>2.9286744679997669E-11</v>
      </c>
    </row>
    <row r="44" spans="1:11" x14ac:dyDescent="0.25">
      <c r="A44" t="s">
        <v>125</v>
      </c>
      <c r="B44" t="s">
        <v>5</v>
      </c>
      <c r="C44">
        <v>0</v>
      </c>
      <c r="D44" s="1">
        <v>5.1525484701053304E-13</v>
      </c>
      <c r="E44" s="1">
        <v>5.9222584488027599E-92</v>
      </c>
      <c r="F44" s="1">
        <v>5.1525484701053304E-13</v>
      </c>
      <c r="G44" s="1">
        <v>3.22587732803262E-11</v>
      </c>
      <c r="H44" t="s">
        <v>207</v>
      </c>
      <c r="I44">
        <f>($R$29*9)+($R$27*11)+($R$30*1)+($R$28*3)</f>
        <v>181</v>
      </c>
      <c r="J44">
        <f>$R$30*1/I44</f>
        <v>7.7348066298342538E-2</v>
      </c>
      <c r="K44" s="1">
        <f t="shared" si="0"/>
        <v>2.4951537343898716E-12</v>
      </c>
    </row>
    <row r="45" spans="1:11" x14ac:dyDescent="0.25">
      <c r="A45" t="s">
        <v>124</v>
      </c>
      <c r="B45" t="s">
        <v>5</v>
      </c>
      <c r="C45">
        <v>0</v>
      </c>
      <c r="D45" s="1">
        <v>9.1563331157091896E-13</v>
      </c>
      <c r="E45" s="1">
        <v>5.9224704662341597E-92</v>
      </c>
      <c r="F45" s="1">
        <v>9.1563331157091896E-13</v>
      </c>
      <c r="G45" s="1">
        <v>3.2259928147563099E-11</v>
      </c>
      <c r="H45" t="s">
        <v>206</v>
      </c>
      <c r="I45">
        <f>($R$29*11)+($R$27*12)+($R$30*2)+($R$28*2)</f>
        <v>204</v>
      </c>
      <c r="J45">
        <f>$R$30*2/I45</f>
        <v>0.13725490196078433</v>
      </c>
      <c r="K45">
        <f t="shared" si="0"/>
        <v>4.42783327515572E-12</v>
      </c>
    </row>
    <row r="46" spans="1:11" x14ac:dyDescent="0.25">
      <c r="A46" t="s">
        <v>123</v>
      </c>
      <c r="B46" t="s">
        <v>5</v>
      </c>
      <c r="C46" s="1">
        <v>7.7391557389153299E-10</v>
      </c>
      <c r="D46" s="1">
        <v>7.7044103089170496E-10</v>
      </c>
      <c r="E46" s="1">
        <v>1.0915909751269501E-17</v>
      </c>
      <c r="F46" s="1">
        <v>7.7044103089170496E-10</v>
      </c>
      <c r="G46" s="1">
        <v>8.7387018025370702E-10</v>
      </c>
      <c r="H46" t="s">
        <v>205</v>
      </c>
      <c r="I46">
        <f>($R$29*9)+($R$27*11)+($R$30*1)+($R$28*2)</f>
        <v>165</v>
      </c>
      <c r="J46">
        <f t="shared" ref="J46:J56" si="1">$R$30*1/I46</f>
        <v>8.4848484848484854E-2</v>
      </c>
      <c r="K46">
        <f t="shared" si="0"/>
        <v>7.4146560748799384E-11</v>
      </c>
    </row>
    <row r="47" spans="1:11" x14ac:dyDescent="0.25">
      <c r="A47" t="s">
        <v>122</v>
      </c>
      <c r="B47" t="s">
        <v>5</v>
      </c>
      <c r="C47" s="1">
        <v>4.1528533973097899E-9</v>
      </c>
      <c r="D47" s="1">
        <v>4.14638688672677E-9</v>
      </c>
      <c r="E47" s="1">
        <v>5.2528041808039696E-19</v>
      </c>
      <c r="F47" s="1">
        <v>4.14638688672677E-9</v>
      </c>
      <c r="G47" s="1">
        <v>4.4878759645896201E-9</v>
      </c>
      <c r="H47" t="s">
        <v>220</v>
      </c>
      <c r="I47">
        <f>($R$29*3)+($R$27*7)+($R$30*1)+($R$28*2)+(R31)</f>
        <v>121</v>
      </c>
      <c r="J47">
        <f t="shared" si="1"/>
        <v>0.11570247933884298</v>
      </c>
      <c r="K47">
        <f t="shared" si="0"/>
        <v>5.1925837606822055E-10</v>
      </c>
    </row>
    <row r="48" spans="1:11" x14ac:dyDescent="0.25">
      <c r="A48" t="s">
        <v>121</v>
      </c>
      <c r="B48" t="s">
        <v>5</v>
      </c>
      <c r="C48">
        <v>0</v>
      </c>
      <c r="D48">
        <v>0</v>
      </c>
      <c r="E48" s="1">
        <v>1.6719924018742E-91</v>
      </c>
      <c r="F48">
        <v>0</v>
      </c>
      <c r="G48" s="1">
        <v>9.1074079736238603E-11</v>
      </c>
      <c r="H48" t="s">
        <v>203</v>
      </c>
      <c r="I48">
        <f>($R$29*5)+($R$27*11)+($R$30*1)+($R$28*2)+(R31)</f>
        <v>149</v>
      </c>
      <c r="J48">
        <f t="shared" si="1"/>
        <v>9.3959731543624164E-2</v>
      </c>
      <c r="K48">
        <f t="shared" si="0"/>
        <v>8.5572960825996004E-12</v>
      </c>
    </row>
    <row r="49" spans="1:11" x14ac:dyDescent="0.25">
      <c r="A49" t="s">
        <v>120</v>
      </c>
      <c r="B49" t="s">
        <v>5</v>
      </c>
      <c r="C49" s="1">
        <v>4.6908486345145399E-12</v>
      </c>
      <c r="D49" s="1">
        <v>1.5463971807466299E-13</v>
      </c>
      <c r="E49" s="1">
        <v>2.82168367004898E-91</v>
      </c>
      <c r="F49" s="1">
        <v>1.5463971807466299E-13</v>
      </c>
      <c r="G49" s="1">
        <v>1.5369821254476001E-10</v>
      </c>
      <c r="H49" t="s">
        <v>202</v>
      </c>
      <c r="I49">
        <f>($R$29*4)+($R$27*9)+($R$30*1)+($R$28*3)</f>
        <v>119</v>
      </c>
      <c r="J49">
        <f t="shared" si="1"/>
        <v>0.11764705882352941</v>
      </c>
      <c r="K49">
        <f t="shared" si="0"/>
        <v>1.8082142652324705E-11</v>
      </c>
    </row>
    <row r="50" spans="1:11" x14ac:dyDescent="0.25">
      <c r="A50" t="s">
        <v>119</v>
      </c>
      <c r="B50" t="s">
        <v>5</v>
      </c>
      <c r="C50" s="1">
        <v>1.4224867285756799E-8</v>
      </c>
      <c r="D50" s="1">
        <v>1.4208266691424301E-8</v>
      </c>
      <c r="E50" s="1">
        <v>2.62815689995783E-89</v>
      </c>
      <c r="F50" s="1">
        <v>1.4208266691424301E-8</v>
      </c>
      <c r="G50" s="1">
        <v>1.4315673372546601E-8</v>
      </c>
      <c r="H50" t="s">
        <v>201</v>
      </c>
      <c r="I50">
        <f>($R$29*3)+($R$27*7)+($R$30*1)+($R$28*3)</f>
        <v>105</v>
      </c>
      <c r="J50">
        <f t="shared" si="1"/>
        <v>0.13333333333333333</v>
      </c>
      <c r="K50">
        <f t="shared" si="0"/>
        <v>1.9087564496728799E-9</v>
      </c>
    </row>
    <row r="51" spans="1:11" x14ac:dyDescent="0.25">
      <c r="A51" t="s">
        <v>118</v>
      </c>
      <c r="B51" t="s">
        <v>5</v>
      </c>
      <c r="C51" s="1">
        <v>3.15577079884302E-9</v>
      </c>
      <c r="D51" s="1">
        <v>3.1490147430100202E-9</v>
      </c>
      <c r="E51" s="1">
        <v>5.9600808912935898E-90</v>
      </c>
      <c r="F51" s="1">
        <v>3.1490147430100202E-9</v>
      </c>
      <c r="G51" s="1">
        <v>3.2464793603108001E-9</v>
      </c>
      <c r="H51" t="s">
        <v>200</v>
      </c>
      <c r="I51">
        <f>($R$29*6)+($R$27*13)+($R$30*1)+($R$28*2)</f>
        <v>131</v>
      </c>
      <c r="J51">
        <f t="shared" si="1"/>
        <v>0.10687022900763359</v>
      </c>
      <c r="K51">
        <f t="shared" si="0"/>
        <v>3.4695199270497097E-10</v>
      </c>
    </row>
    <row r="52" spans="1:11" x14ac:dyDescent="0.25">
      <c r="A52" t="s">
        <v>117</v>
      </c>
      <c r="B52" t="s">
        <v>5</v>
      </c>
      <c r="C52" s="1">
        <v>5.4700642320308201E-10</v>
      </c>
      <c r="D52" s="1">
        <v>5.4256672936996996E-10</v>
      </c>
      <c r="E52" s="1">
        <v>1.170958303886E-90</v>
      </c>
      <c r="F52" s="1">
        <v>5.4256672936996996E-10</v>
      </c>
      <c r="G52" s="1">
        <v>6.37825565573047E-10</v>
      </c>
      <c r="H52" t="s">
        <v>199</v>
      </c>
      <c r="I52">
        <f>($R$29*6)+($R$27*13)+($R$30*1)+($R$28*2)</f>
        <v>131</v>
      </c>
      <c r="J52">
        <f t="shared" si="1"/>
        <v>0.10687022900763359</v>
      </c>
      <c r="K52">
        <f t="shared" si="0"/>
        <v>6.8164564259714949E-11</v>
      </c>
    </row>
    <row r="53" spans="1:11" x14ac:dyDescent="0.25">
      <c r="A53" t="s">
        <v>116</v>
      </c>
      <c r="B53" t="s">
        <v>5</v>
      </c>
      <c r="C53" s="1">
        <v>3.5212965520846299E-9</v>
      </c>
      <c r="D53" s="1">
        <v>3.5141544359183201E-9</v>
      </c>
      <c r="E53" s="1">
        <v>6.6275671949301397E-90</v>
      </c>
      <c r="F53" s="1">
        <v>3.5141544359183201E-9</v>
      </c>
      <c r="G53" s="1">
        <v>3.6100617592026899E-9</v>
      </c>
      <c r="H53" t="s">
        <v>198</v>
      </c>
      <c r="I53">
        <f>($R$29*5)+($R$27*11)+($R$30*1)+($R$28*2)</f>
        <v>117</v>
      </c>
      <c r="J53">
        <f t="shared" si="1"/>
        <v>0.11965811965811966</v>
      </c>
      <c r="K53">
        <f t="shared" si="0"/>
        <v>4.3197320195587745E-10</v>
      </c>
    </row>
    <row r="54" spans="1:11" x14ac:dyDescent="0.25">
      <c r="A54" t="s">
        <v>115</v>
      </c>
      <c r="B54" t="s">
        <v>5</v>
      </c>
      <c r="C54" s="1">
        <v>1.02246867217042E-11</v>
      </c>
      <c r="D54" s="1">
        <v>3.0825705553946302E-12</v>
      </c>
      <c r="E54" s="1">
        <v>1.18712123704108E-18</v>
      </c>
      <c r="F54" s="1">
        <v>3.0825705553946302E-12</v>
      </c>
      <c r="G54" s="1">
        <v>1.56381896694522E-10</v>
      </c>
      <c r="H54" t="s">
        <v>197</v>
      </c>
      <c r="I54">
        <f>($R$29*5)+($R$27*9)+($R$30*1)+($R$28*4)</f>
        <v>147</v>
      </c>
      <c r="J54">
        <f t="shared" si="1"/>
        <v>9.5238095238095233E-2</v>
      </c>
      <c r="K54">
        <f t="shared" si="0"/>
        <v>1.4893513970906858E-11</v>
      </c>
    </row>
    <row r="55" spans="1:11" x14ac:dyDescent="0.25">
      <c r="A55" t="s">
        <v>114</v>
      </c>
      <c r="B55" t="s">
        <v>5</v>
      </c>
      <c r="C55" s="1">
        <v>7.0079501404243196E-10</v>
      </c>
      <c r="D55" s="1">
        <v>6.9616229004266305E-10</v>
      </c>
      <c r="E55" s="1">
        <v>1.45496741909252E-90</v>
      </c>
      <c r="F55" s="1">
        <v>6.9616229004266305E-10</v>
      </c>
      <c r="G55" s="1">
        <v>7.9252644085898303E-10</v>
      </c>
      <c r="H55" t="s">
        <v>196</v>
      </c>
      <c r="I55">
        <f>($R$29*4)+($R$27*7)+($R$30*1)+($R$28*4)</f>
        <v>133</v>
      </c>
      <c r="J55">
        <f t="shared" si="1"/>
        <v>0.10526315789473684</v>
      </c>
      <c r="K55">
        <f t="shared" si="0"/>
        <v>8.3423835879892948E-11</v>
      </c>
    </row>
    <row r="56" spans="1:11" x14ac:dyDescent="0.25">
      <c r="A56" t="s">
        <v>113</v>
      </c>
      <c r="B56" t="s">
        <v>5</v>
      </c>
      <c r="C56" s="1">
        <v>1.8130931480304299E-8</v>
      </c>
      <c r="D56" s="1">
        <v>1.81068027094722E-8</v>
      </c>
      <c r="E56" s="1">
        <v>2.1374720165004E-18</v>
      </c>
      <c r="F56" s="1">
        <v>1.81068027094722E-8</v>
      </c>
      <c r="G56" s="1">
        <v>1.8266557330779E-8</v>
      </c>
      <c r="H56" t="s">
        <v>195</v>
      </c>
      <c r="I56">
        <f>($R$29*2)+($R$27*5)+($R$30*1)+($R$28*2)</f>
        <v>75</v>
      </c>
      <c r="J56">
        <f t="shared" si="1"/>
        <v>0.18666666666666668</v>
      </c>
      <c r="K56">
        <f t="shared" si="0"/>
        <v>3.4097573684120801E-9</v>
      </c>
    </row>
    <row r="57" spans="1:11" x14ac:dyDescent="0.25">
      <c r="A57" t="s">
        <v>112</v>
      </c>
      <c r="B57" t="s">
        <v>5</v>
      </c>
      <c r="C57" s="1">
        <v>5.9191124712364502E-10</v>
      </c>
      <c r="D57" s="1">
        <v>5.8737503820720495E-10</v>
      </c>
      <c r="E57" s="1">
        <v>1.2540948844918901E-90</v>
      </c>
      <c r="F57" s="1">
        <v>5.8737503820720495E-10</v>
      </c>
      <c r="G57" s="1">
        <v>6.8311038602206105E-10</v>
      </c>
      <c r="H57" t="s">
        <v>194</v>
      </c>
      <c r="I57">
        <f>($R$29*3)+($R$27*7)+($R$30*1)+($R$28*2)</f>
        <v>89</v>
      </c>
      <c r="J57">
        <f>$R$30*4/I57</f>
        <v>0.6292134831460674</v>
      </c>
      <c r="K57">
        <f t="shared" si="0"/>
        <v>4.2982226536219569E-10</v>
      </c>
    </row>
    <row r="58" spans="1:11" x14ac:dyDescent="0.25">
      <c r="A58" t="s">
        <v>111</v>
      </c>
      <c r="B58" t="s">
        <v>5</v>
      </c>
      <c r="C58" s="1">
        <v>7.5741955943722999E-9</v>
      </c>
      <c r="D58" s="1">
        <v>7.5634824201228107E-9</v>
      </c>
      <c r="E58" s="1">
        <v>8.9560741062677207E-19</v>
      </c>
      <c r="F58" s="1">
        <v>7.5634824201228107E-9</v>
      </c>
      <c r="G58" s="1">
        <v>7.6518652390446402E-9</v>
      </c>
      <c r="H58" t="s">
        <v>193</v>
      </c>
      <c r="I58">
        <f>($R$29*5)+($R$27*9)+($R$30*1)+($R$28*2)</f>
        <v>115</v>
      </c>
      <c r="J58">
        <f>$R$30*1/I58</f>
        <v>0.12173913043478261</v>
      </c>
      <c r="K58">
        <f t="shared" si="0"/>
        <v>9.3153142040543441E-10</v>
      </c>
    </row>
    <row r="59" spans="1:11" x14ac:dyDescent="0.25">
      <c r="A59" t="s">
        <v>110</v>
      </c>
      <c r="B59" t="s">
        <v>5</v>
      </c>
      <c r="C59" s="1">
        <v>2.5405903797219099E-10</v>
      </c>
      <c r="D59" s="1">
        <v>2.5405903797219001E-10</v>
      </c>
      <c r="E59" s="1">
        <v>3.1363591551450498E-8</v>
      </c>
      <c r="F59" s="1">
        <v>2.5405903797219001E-10</v>
      </c>
      <c r="G59" s="1">
        <v>1.7763273595262399E-10</v>
      </c>
      <c r="H59" t="s">
        <v>192</v>
      </c>
      <c r="I59" s="2">
        <v>2</v>
      </c>
      <c r="K59">
        <f t="shared" ref="K59:K87" si="2">G59*J59</f>
        <v>0</v>
      </c>
    </row>
    <row r="60" spans="1:11" x14ac:dyDescent="0.25">
      <c r="A60" t="s">
        <v>109</v>
      </c>
      <c r="B60" t="s">
        <v>5</v>
      </c>
      <c r="C60" s="1">
        <v>6.7200079513507296E-7</v>
      </c>
      <c r="D60" s="1">
        <v>1.40049012420722E-11</v>
      </c>
      <c r="E60" s="1">
        <v>5.7586467065587301E-6</v>
      </c>
      <c r="F60" s="1">
        <v>1.40049012420722E-11</v>
      </c>
      <c r="G60" s="1">
        <v>8.5228026707674497E-7</v>
      </c>
      <c r="H60" t="s">
        <v>191</v>
      </c>
      <c r="I60" s="2">
        <f>R29+(R27*4)</f>
        <v>16</v>
      </c>
      <c r="K60">
        <f t="shared" si="2"/>
        <v>0</v>
      </c>
    </row>
    <row r="61" spans="1:11" x14ac:dyDescent="0.25">
      <c r="A61" t="s">
        <v>108</v>
      </c>
      <c r="B61" t="s">
        <v>5</v>
      </c>
      <c r="C61">
        <v>0</v>
      </c>
      <c r="D61" s="1">
        <v>4.8958894610262196E-13</v>
      </c>
      <c r="E61" s="1">
        <v>8.4412887727704797E-17</v>
      </c>
      <c r="F61" s="1">
        <v>4.8958894610262196E-13</v>
      </c>
      <c r="G61" s="1">
        <v>2.9797559403513E-11</v>
      </c>
      <c r="H61" t="s">
        <v>190</v>
      </c>
      <c r="I61" s="2">
        <f>($R$29*8)+($R$27*7)+($R$30)</f>
        <v>117</v>
      </c>
      <c r="J61">
        <f>$R$30*7/I61</f>
        <v>0.83760683760683763</v>
      </c>
      <c r="K61">
        <f t="shared" si="2"/>
        <v>2.4958639500378413E-11</v>
      </c>
    </row>
    <row r="62" spans="1:11" x14ac:dyDescent="0.25">
      <c r="A62" t="s">
        <v>107</v>
      </c>
      <c r="B62" t="s">
        <v>5</v>
      </c>
      <c r="C62" s="1">
        <v>7.3430074474148894E-8</v>
      </c>
      <c r="D62" s="1">
        <v>7.3430074474148801E-8</v>
      </c>
      <c r="E62" s="1">
        <v>7.6964218772439899E-13</v>
      </c>
      <c r="F62" s="1">
        <v>7.3430074474148801E-8</v>
      </c>
      <c r="G62" s="1">
        <v>7.3439930206489902E-8</v>
      </c>
      <c r="H62" t="s">
        <v>189</v>
      </c>
      <c r="I62" s="2">
        <f>R29+R27*3+R30+R28</f>
        <v>45</v>
      </c>
      <c r="J62">
        <f>$R$30/I62</f>
        <v>0.31111111111111112</v>
      </c>
      <c r="K62">
        <f t="shared" si="2"/>
        <v>2.2847978286463525E-8</v>
      </c>
    </row>
    <row r="63" spans="1:11" x14ac:dyDescent="0.25">
      <c r="A63" t="s">
        <v>106</v>
      </c>
      <c r="B63" t="s">
        <v>5</v>
      </c>
      <c r="C63" s="1">
        <v>1.01068569067812E-8</v>
      </c>
      <c r="D63" s="1">
        <v>2.2806829366176399E-11</v>
      </c>
      <c r="E63" s="1">
        <v>3.3403495933044E-9</v>
      </c>
      <c r="F63" s="1">
        <v>2.2806829366176399E-11</v>
      </c>
      <c r="G63" s="1">
        <v>9.3310334874566299E-9</v>
      </c>
      <c r="H63" t="s">
        <v>106</v>
      </c>
      <c r="I63" s="2">
        <f>R27*2+R31</f>
        <v>34</v>
      </c>
      <c r="K63">
        <f t="shared" si="2"/>
        <v>0</v>
      </c>
    </row>
    <row r="64" spans="1:11" x14ac:dyDescent="0.25">
      <c r="A64" t="s">
        <v>105</v>
      </c>
      <c r="B64" t="s">
        <v>5</v>
      </c>
      <c r="C64" s="1">
        <v>1.60120956492462E-11</v>
      </c>
      <c r="D64" s="1">
        <v>1.60120956492462E-11</v>
      </c>
      <c r="E64" s="1">
        <v>3.2371302730084397E-11</v>
      </c>
      <c r="F64" s="1">
        <v>1.60120956492462E-11</v>
      </c>
      <c r="G64" s="1">
        <v>5.2112372567039205E-10</v>
      </c>
      <c r="H64" t="s">
        <v>105</v>
      </c>
      <c r="I64" s="2">
        <f>I60+R31</f>
        <v>48</v>
      </c>
      <c r="K64">
        <f t="shared" si="2"/>
        <v>0</v>
      </c>
    </row>
    <row r="65" spans="1:11" x14ac:dyDescent="0.25">
      <c r="A65" t="s">
        <v>104</v>
      </c>
      <c r="B65" t="s">
        <v>5</v>
      </c>
      <c r="C65" s="1">
        <v>5.4310020768945896E-10</v>
      </c>
      <c r="D65" s="1">
        <v>5.4310020768945803E-10</v>
      </c>
      <c r="E65" s="1">
        <v>1.04421187040725E-8</v>
      </c>
      <c r="F65" s="1">
        <v>5.4310020768945803E-10</v>
      </c>
      <c r="G65" s="1">
        <v>1.17172067616476E-9</v>
      </c>
      <c r="H65" t="s">
        <v>188</v>
      </c>
      <c r="I65" s="2">
        <f>R29*6+R27*6</f>
        <v>78</v>
      </c>
      <c r="K65">
        <f t="shared" si="2"/>
        <v>0</v>
      </c>
    </row>
    <row r="66" spans="1:11" x14ac:dyDescent="0.25">
      <c r="A66" t="s">
        <v>103</v>
      </c>
      <c r="B66" t="s">
        <v>5</v>
      </c>
      <c r="C66">
        <v>0</v>
      </c>
      <c r="D66">
        <v>0</v>
      </c>
      <c r="E66" s="1">
        <v>2.9889632840690301E-21</v>
      </c>
      <c r="F66">
        <v>0</v>
      </c>
      <c r="G66" s="1">
        <v>5.3514031464835801E-19</v>
      </c>
      <c r="H66" t="s">
        <v>187</v>
      </c>
      <c r="I66" s="2">
        <f>I65+R28</f>
        <v>94</v>
      </c>
      <c r="K66">
        <f t="shared" si="2"/>
        <v>0</v>
      </c>
    </row>
    <row r="67" spans="1:11" x14ac:dyDescent="0.25">
      <c r="A67" t="s">
        <v>102</v>
      </c>
      <c r="B67" t="s">
        <v>5</v>
      </c>
      <c r="C67">
        <v>0</v>
      </c>
      <c r="D67">
        <v>0</v>
      </c>
      <c r="E67">
        <v>0</v>
      </c>
      <c r="F67">
        <v>0</v>
      </c>
      <c r="G67">
        <v>0</v>
      </c>
      <c r="H67" t="s">
        <v>102</v>
      </c>
      <c r="I67" s="2">
        <f>R27*2+R29+R28*3</f>
        <v>62</v>
      </c>
      <c r="K67">
        <f t="shared" si="2"/>
        <v>0</v>
      </c>
    </row>
    <row r="68" spans="1:11" x14ac:dyDescent="0.25">
      <c r="A68" t="s">
        <v>101</v>
      </c>
      <c r="B68" t="s">
        <v>5</v>
      </c>
      <c r="C68">
        <v>0</v>
      </c>
      <c r="D68">
        <v>0</v>
      </c>
      <c r="E68">
        <v>0</v>
      </c>
      <c r="F68">
        <v>0</v>
      </c>
      <c r="G68">
        <v>0</v>
      </c>
      <c r="H68" t="s">
        <v>101</v>
      </c>
      <c r="I68" s="2">
        <f>R27+R29+R28*3</f>
        <v>61</v>
      </c>
      <c r="K68">
        <f t="shared" si="2"/>
        <v>0</v>
      </c>
    </row>
    <row r="69" spans="1:11" x14ac:dyDescent="0.25">
      <c r="A69" t="s">
        <v>100</v>
      </c>
      <c r="B69" t="s">
        <v>5</v>
      </c>
      <c r="C69">
        <v>0</v>
      </c>
      <c r="D69">
        <v>0</v>
      </c>
      <c r="E69">
        <v>0</v>
      </c>
      <c r="F69">
        <v>0</v>
      </c>
      <c r="G69">
        <v>0</v>
      </c>
      <c r="H69" t="s">
        <v>100</v>
      </c>
      <c r="I69" s="2">
        <f>I68-1</f>
        <v>60</v>
      </c>
      <c r="K69">
        <f t="shared" si="2"/>
        <v>0</v>
      </c>
    </row>
    <row r="70" spans="1:11" x14ac:dyDescent="0.25">
      <c r="A70" t="s">
        <v>99</v>
      </c>
      <c r="B70" t="s">
        <v>5</v>
      </c>
      <c r="C70">
        <v>0</v>
      </c>
      <c r="D70">
        <v>0</v>
      </c>
      <c r="E70">
        <v>0</v>
      </c>
      <c r="F70">
        <v>0</v>
      </c>
      <c r="G70">
        <v>0</v>
      </c>
      <c r="H70" t="s">
        <v>99</v>
      </c>
      <c r="I70" s="2">
        <f>I63-1</f>
        <v>33</v>
      </c>
      <c r="K70">
        <f t="shared" si="2"/>
        <v>0</v>
      </c>
    </row>
    <row r="71" spans="1:11" x14ac:dyDescent="0.25">
      <c r="A71" t="s">
        <v>98</v>
      </c>
      <c r="B71" t="s">
        <v>5</v>
      </c>
      <c r="C71" s="1">
        <v>1.7144544239722499E-7</v>
      </c>
      <c r="D71" s="1">
        <v>5.7148480799074903E-7</v>
      </c>
      <c r="E71" s="1">
        <v>3.1474979253632802E-88</v>
      </c>
      <c r="F71" s="1">
        <v>5.7148480799074903E-7</v>
      </c>
      <c r="G71" s="1">
        <v>1.71445442397262E-7</v>
      </c>
      <c r="H71" t="s">
        <v>219</v>
      </c>
      <c r="I71" s="2">
        <f>$R$29*6+$R$27*10+$R$28*5</f>
        <v>162</v>
      </c>
      <c r="K71">
        <f t="shared" si="2"/>
        <v>0</v>
      </c>
    </row>
    <row r="72" spans="1:11" x14ac:dyDescent="0.25">
      <c r="A72" t="s">
        <v>97</v>
      </c>
      <c r="B72" t="s">
        <v>5</v>
      </c>
      <c r="C72" s="1">
        <v>1.70018199906758E-7</v>
      </c>
      <c r="D72" s="1">
        <v>4.2504549976689398E-7</v>
      </c>
      <c r="E72" s="1">
        <v>5.6932008655020904E-16</v>
      </c>
      <c r="F72" s="1">
        <v>4.2504549976689398E-7</v>
      </c>
      <c r="G72" s="1">
        <v>1.7001819933747401E-7</v>
      </c>
      <c r="H72" t="s">
        <v>186</v>
      </c>
      <c r="I72" s="2">
        <f>$R$29*5+$R$27*8+$R$28*4</f>
        <v>132</v>
      </c>
      <c r="K72">
        <f t="shared" si="2"/>
        <v>0</v>
      </c>
    </row>
    <row r="73" spans="1:11" x14ac:dyDescent="0.25">
      <c r="A73" t="s">
        <v>96</v>
      </c>
      <c r="B73" t="s">
        <v>5</v>
      </c>
      <c r="C73">
        <v>0</v>
      </c>
      <c r="D73">
        <v>0</v>
      </c>
      <c r="E73">
        <v>0</v>
      </c>
      <c r="F73">
        <v>0</v>
      </c>
      <c r="G73">
        <v>0</v>
      </c>
      <c r="H73" t="s">
        <v>185</v>
      </c>
      <c r="I73" s="2">
        <f>$R$29*6+$R$27*12+$R$28*6</f>
        <v>180</v>
      </c>
      <c r="K73">
        <f t="shared" si="2"/>
        <v>0</v>
      </c>
    </row>
    <row r="74" spans="1:11" x14ac:dyDescent="0.25">
      <c r="A74" t="s">
        <v>95</v>
      </c>
      <c r="B74" t="s">
        <v>5</v>
      </c>
      <c r="C74" s="1">
        <v>6.3359169139343104E-11</v>
      </c>
      <c r="D74" s="1">
        <v>6.3359169139342996E-10</v>
      </c>
      <c r="E74" s="1">
        <v>6.6844740371032203E-29</v>
      </c>
      <c r="F74" s="1">
        <v>6.3359169139342996E-10</v>
      </c>
      <c r="G74" s="1">
        <v>6.3359169139356804E-11</v>
      </c>
      <c r="H74" t="s">
        <v>184</v>
      </c>
      <c r="I74" s="2">
        <f>$R$29*57+$R$27*104+$R$28*6</f>
        <v>884</v>
      </c>
      <c r="K74">
        <f t="shared" si="2"/>
        <v>0</v>
      </c>
    </row>
    <row r="75" spans="1:11" x14ac:dyDescent="0.25">
      <c r="A75" t="s">
        <v>94</v>
      </c>
      <c r="B75" t="s">
        <v>5</v>
      </c>
      <c r="C75" s="1">
        <v>6.9560657268330994E-11</v>
      </c>
      <c r="D75" s="1">
        <v>6.9560657268330904E-10</v>
      </c>
      <c r="E75" s="1">
        <v>6.80673108914614E-28</v>
      </c>
      <c r="F75" s="1">
        <v>6.9560657268330904E-10</v>
      </c>
      <c r="G75" s="1">
        <v>6.9560657268346103E-11</v>
      </c>
      <c r="H75" t="s">
        <v>183</v>
      </c>
      <c r="I75" s="2">
        <f>$R$29*51+$R$27*98+$R$28*6</f>
        <v>806</v>
      </c>
      <c r="K75">
        <f t="shared" si="2"/>
        <v>0</v>
      </c>
    </row>
    <row r="76" spans="1:11" x14ac:dyDescent="0.25">
      <c r="A76" t="s">
        <v>93</v>
      </c>
      <c r="B76" t="s">
        <v>5</v>
      </c>
      <c r="C76" s="1">
        <v>2.7574022287318099E-9</v>
      </c>
      <c r="D76" s="1">
        <v>2.7349610893912299E-11</v>
      </c>
      <c r="E76" s="1">
        <v>1.7397238655320599E-20</v>
      </c>
      <c r="F76" s="1">
        <v>2.7349610893912299E-11</v>
      </c>
      <c r="G76" s="1">
        <v>1.3787014589429901E-12</v>
      </c>
      <c r="H76" t="s">
        <v>182</v>
      </c>
      <c r="I76" s="2">
        <f>$R$29*16+$R$27*34+$R$28*1</f>
        <v>242</v>
      </c>
      <c r="K76">
        <f t="shared" si="2"/>
        <v>0</v>
      </c>
    </row>
    <row r="77" spans="1:11" x14ac:dyDescent="0.25">
      <c r="A77" t="s">
        <v>92</v>
      </c>
      <c r="B77" t="s">
        <v>5</v>
      </c>
      <c r="C77">
        <v>0</v>
      </c>
      <c r="D77">
        <v>0</v>
      </c>
      <c r="E77">
        <v>0</v>
      </c>
      <c r="F77">
        <v>0</v>
      </c>
      <c r="G77">
        <v>0</v>
      </c>
      <c r="H77" t="s">
        <v>181</v>
      </c>
      <c r="I77" s="2">
        <f>$R$29*37+$R$27*70+$R$28*5</f>
        <v>594</v>
      </c>
      <c r="K77">
        <f t="shared" si="2"/>
        <v>0</v>
      </c>
    </row>
    <row r="78" spans="1:11" x14ac:dyDescent="0.25">
      <c r="A78" t="s">
        <v>91</v>
      </c>
      <c r="B78" t="s">
        <v>5</v>
      </c>
      <c r="C78" s="1">
        <v>9.4657207954773205E-11</v>
      </c>
      <c r="D78" s="1">
        <v>9.4657207954773397E-10</v>
      </c>
      <c r="E78" s="1">
        <v>8.9931243715291001E-25</v>
      </c>
      <c r="F78" s="1">
        <v>9.4657207954773397E-10</v>
      </c>
      <c r="G78" s="1">
        <v>9.4657207954792799E-11</v>
      </c>
      <c r="H78" t="s">
        <v>180</v>
      </c>
      <c r="I78" s="2">
        <f>$R$29*37+$R$27*68+$R$28*5</f>
        <v>592</v>
      </c>
      <c r="K78">
        <f t="shared" si="2"/>
        <v>0</v>
      </c>
    </row>
    <row r="79" spans="1:11" x14ac:dyDescent="0.25">
      <c r="A79" t="s">
        <v>90</v>
      </c>
      <c r="B79" t="s">
        <v>5</v>
      </c>
      <c r="C79" s="1">
        <v>1.38124930243448E-7</v>
      </c>
      <c r="D79" s="1">
        <v>1.0624486696306399E-7</v>
      </c>
      <c r="E79" s="1">
        <v>1.9283119874747301E-17</v>
      </c>
      <c r="F79" s="1">
        <v>1.0624486696306399E-7</v>
      </c>
      <c r="G79" s="1">
        <v>1.3812493022419399E-7</v>
      </c>
      <c r="H79" t="s">
        <v>179</v>
      </c>
      <c r="I79" s="2">
        <f>$R$29*5+$R$27*10+$R$28*5</f>
        <v>150</v>
      </c>
      <c r="K79">
        <f t="shared" si="2"/>
        <v>0</v>
      </c>
    </row>
    <row r="80" spans="1:11" x14ac:dyDescent="0.25">
      <c r="A80" t="s">
        <v>89</v>
      </c>
      <c r="B80" t="s">
        <v>5</v>
      </c>
      <c r="C80" s="1">
        <v>1.06244866963064E-8</v>
      </c>
      <c r="D80">
        <v>0</v>
      </c>
      <c r="E80" s="1">
        <v>1.6962935901136299E-10</v>
      </c>
      <c r="F80">
        <v>0</v>
      </c>
      <c r="G80" s="1">
        <v>1.0454857337294699E-8</v>
      </c>
      <c r="H80" t="s">
        <v>178</v>
      </c>
      <c r="I80" s="2">
        <f>$R$29*5+$R$27*4+$R$28*2</f>
        <v>96</v>
      </c>
      <c r="K80">
        <f t="shared" si="2"/>
        <v>0</v>
      </c>
    </row>
    <row r="81" spans="1:11" x14ac:dyDescent="0.25">
      <c r="A81" t="s">
        <v>88</v>
      </c>
      <c r="B81" t="s">
        <v>5</v>
      </c>
      <c r="C81" s="1">
        <v>8.6042375483675403E-10</v>
      </c>
      <c r="D81" s="1">
        <v>8.5088832437969498E-12</v>
      </c>
      <c r="E81" s="1">
        <v>3.7122951021339101E-22</v>
      </c>
      <c r="F81" s="1">
        <v>8.5088832437969498E-12</v>
      </c>
      <c r="G81" s="1">
        <v>4.3021232358711101E-13</v>
      </c>
      <c r="H81" t="s">
        <v>177</v>
      </c>
      <c r="I81" s="2">
        <f>$R$29*18+$R$27*32+$R$28*2</f>
        <v>280</v>
      </c>
      <c r="K81">
        <f t="shared" si="2"/>
        <v>0</v>
      </c>
    </row>
    <row r="82" spans="1:11" x14ac:dyDescent="0.25">
      <c r="A82" t="s">
        <v>87</v>
      </c>
      <c r="B82" t="s">
        <v>5</v>
      </c>
      <c r="C82">
        <v>0</v>
      </c>
      <c r="D82">
        <v>0</v>
      </c>
      <c r="E82">
        <v>0</v>
      </c>
      <c r="F82">
        <v>0</v>
      </c>
      <c r="G82">
        <v>0</v>
      </c>
      <c r="H82" t="s">
        <v>219</v>
      </c>
      <c r="I82" s="2">
        <f>$R$29*6+$R$27*10+$R$28*5</f>
        <v>162</v>
      </c>
      <c r="K82">
        <f t="shared" si="2"/>
        <v>0</v>
      </c>
    </row>
    <row r="83" spans="1:11" x14ac:dyDescent="0.25">
      <c r="A83" t="s">
        <v>86</v>
      </c>
      <c r="B83" t="s">
        <v>5</v>
      </c>
      <c r="C83" s="1">
        <v>7.60408078757914E-7</v>
      </c>
      <c r="D83" s="1">
        <v>1.5161011618265799E-6</v>
      </c>
      <c r="E83" s="1">
        <v>2.1017883278780601E-8</v>
      </c>
      <c r="F83" s="1">
        <v>1.5161011618265799E-6</v>
      </c>
      <c r="G83" s="1">
        <v>7.39390195478979E-7</v>
      </c>
      <c r="H83" t="s">
        <v>175</v>
      </c>
      <c r="I83" s="2">
        <f>$R$29*2+$R$27*6+$R$28*2</f>
        <v>62</v>
      </c>
      <c r="K83">
        <f t="shared" si="2"/>
        <v>0</v>
      </c>
    </row>
    <row r="84" spans="1:11" x14ac:dyDescent="0.25">
      <c r="A84" t="s">
        <v>85</v>
      </c>
      <c r="B84" t="s">
        <v>5</v>
      </c>
      <c r="C84" s="1">
        <v>1.12045000860168E-9</v>
      </c>
      <c r="D84" s="1">
        <v>1.12045000860167E-8</v>
      </c>
      <c r="E84" s="1">
        <v>1.5083220084807699E-10</v>
      </c>
      <c r="F84" s="1">
        <v>1.12045000860167E-8</v>
      </c>
      <c r="G84" s="1">
        <v>9.6961780775150903E-10</v>
      </c>
      <c r="H84" t="s">
        <v>174</v>
      </c>
      <c r="I84" s="2">
        <f>$R$29*13+$R$27*25+$R$28*7+$R$30*3+$R$31</f>
        <v>367</v>
      </c>
      <c r="J84">
        <f>$R$30*3/I84</f>
        <v>0.11444141689373297</v>
      </c>
      <c r="K84">
        <f t="shared" si="2"/>
        <v>1.1096443576447787E-10</v>
      </c>
    </row>
    <row r="85" spans="1:11" x14ac:dyDescent="0.25">
      <c r="A85" t="s">
        <v>84</v>
      </c>
      <c r="B85" t="s">
        <v>5</v>
      </c>
      <c r="C85" s="1">
        <v>9.6515083328507702E-11</v>
      </c>
      <c r="D85" s="1">
        <v>1.9303016665701499E-10</v>
      </c>
      <c r="E85" s="1">
        <v>9.6493205238951104E-11</v>
      </c>
      <c r="F85" s="1">
        <v>1.9303016665701499E-10</v>
      </c>
      <c r="G85" s="1">
        <v>2.1878088087442601E-14</v>
      </c>
      <c r="H85" t="s">
        <v>173</v>
      </c>
      <c r="I85" s="2">
        <f>$R$29*4+$R$27*8+$R$28*2+R30</f>
        <v>102</v>
      </c>
      <c r="J85">
        <f>R30/I85</f>
        <v>0.13725490196078433</v>
      </c>
      <c r="K85">
        <f t="shared" si="2"/>
        <v>3.0028748355313374E-15</v>
      </c>
    </row>
    <row r="86" spans="1:11" x14ac:dyDescent="0.25">
      <c r="A86" t="s">
        <v>83</v>
      </c>
      <c r="B86" t="s">
        <v>5</v>
      </c>
      <c r="C86">
        <v>0</v>
      </c>
      <c r="D86">
        <v>0</v>
      </c>
      <c r="E86">
        <v>0</v>
      </c>
      <c r="F86">
        <v>0</v>
      </c>
      <c r="G86">
        <v>0</v>
      </c>
      <c r="H86" t="s">
        <v>172</v>
      </c>
      <c r="I86" s="2">
        <f>$R$29*2+$R$27*3+$R$28*2</f>
        <v>59</v>
      </c>
      <c r="K86">
        <f t="shared" si="2"/>
        <v>0</v>
      </c>
    </row>
    <row r="87" spans="1:11" x14ac:dyDescent="0.25">
      <c r="A87" t="s">
        <v>82</v>
      </c>
      <c r="B87" t="s">
        <v>5</v>
      </c>
      <c r="C87" s="1">
        <v>1.54441201304727E-6</v>
      </c>
      <c r="D87" s="1">
        <v>1.54441201304727E-6</v>
      </c>
      <c r="E87" s="1">
        <v>6.0168730673175002E-20</v>
      </c>
      <c r="F87" s="1">
        <v>1.54441201304727E-6</v>
      </c>
      <c r="G87" s="1">
        <v>1.5444120130475499E-6</v>
      </c>
      <c r="H87" t="s">
        <v>82</v>
      </c>
      <c r="I87" s="2" t="s">
        <v>218</v>
      </c>
      <c r="J87">
        <f>0.83</f>
        <v>0.83</v>
      </c>
      <c r="K87">
        <f t="shared" si="2"/>
        <v>1.2818619708294664E-6</v>
      </c>
    </row>
    <row r="88" spans="1:11" x14ac:dyDescent="0.25">
      <c r="A88" t="s">
        <v>4</v>
      </c>
      <c r="I88" s="2"/>
    </row>
    <row r="89" spans="1:11" x14ac:dyDescent="0.25">
      <c r="A89" t="s">
        <v>142</v>
      </c>
      <c r="C89">
        <v>0.98647489783613795</v>
      </c>
      <c r="D89">
        <v>0.98805340709490497</v>
      </c>
      <c r="E89">
        <v>0.15457219199370101</v>
      </c>
      <c r="F89">
        <v>0.98805340709490497</v>
      </c>
      <c r="G89">
        <v>0.98953434170370402</v>
      </c>
      <c r="H89" t="s">
        <v>217</v>
      </c>
      <c r="I89" s="2"/>
    </row>
    <row r="90" spans="1:11" x14ac:dyDescent="0.25">
      <c r="A90" t="s">
        <v>141</v>
      </c>
      <c r="C90" s="1">
        <v>3.02757361898763E-5</v>
      </c>
      <c r="D90" s="1">
        <v>2.7519585333003301E-5</v>
      </c>
      <c r="E90" s="1">
        <v>7.9847317476579706E-11</v>
      </c>
      <c r="F90" s="1">
        <v>2.7519585333003301E-5</v>
      </c>
      <c r="G90" s="1">
        <v>2.3871817526154499E-5</v>
      </c>
      <c r="H90" t="s">
        <v>216</v>
      </c>
      <c r="I90" s="2"/>
    </row>
    <row r="91" spans="1:11" x14ac:dyDescent="0.25">
      <c r="A91" t="s">
        <v>140</v>
      </c>
      <c r="C91" s="1">
        <v>2.3402307929623399E-6</v>
      </c>
      <c r="D91" s="1">
        <v>2.3235088933432099E-8</v>
      </c>
      <c r="E91" s="1">
        <v>2.9811730821352797E-14</v>
      </c>
      <c r="F91" s="1">
        <v>2.3235088933432099E-8</v>
      </c>
      <c r="G91" s="1">
        <v>6.3179512189179198E-7</v>
      </c>
      <c r="H91" t="s">
        <v>215</v>
      </c>
      <c r="I91" s="2"/>
    </row>
    <row r="92" spans="1:11" x14ac:dyDescent="0.25">
      <c r="A92" t="s">
        <v>139</v>
      </c>
      <c r="C92">
        <v>1.99592677534803E-3</v>
      </c>
      <c r="D92">
        <v>1.7648694548846901E-3</v>
      </c>
      <c r="E92" s="1">
        <v>6.8842590005066804E-15</v>
      </c>
      <c r="F92">
        <v>1.7648694548846901E-3</v>
      </c>
      <c r="G92">
        <v>3.8557232999396698E-4</v>
      </c>
      <c r="H92" t="s">
        <v>185</v>
      </c>
      <c r="I92" s="2"/>
    </row>
    <row r="93" spans="1:11" x14ac:dyDescent="0.25">
      <c r="A93" t="s">
        <v>138</v>
      </c>
      <c r="C93">
        <v>4.2731777910432599E-3</v>
      </c>
      <c r="D93">
        <v>1.91205564105733E-3</v>
      </c>
      <c r="E93">
        <v>2.2952381100436499E-4</v>
      </c>
      <c r="F93">
        <v>1.91205564105733E-3</v>
      </c>
      <c r="G93">
        <v>1.08803360948979E-3</v>
      </c>
      <c r="H93" t="s">
        <v>214</v>
      </c>
      <c r="I93" s="2"/>
    </row>
    <row r="94" spans="1:11" x14ac:dyDescent="0.25">
      <c r="A94" t="s">
        <v>137</v>
      </c>
      <c r="C94" s="1">
        <v>3.31691053677949E-5</v>
      </c>
      <c r="D94" s="1">
        <v>3.31907816866934E-5</v>
      </c>
      <c r="E94">
        <v>1.47297683418783E-4</v>
      </c>
      <c r="F94" s="1">
        <v>3.31907816866934E-5</v>
      </c>
      <c r="G94">
        <v>8.4128966159870199E-4</v>
      </c>
      <c r="H94" t="s">
        <v>213</v>
      </c>
      <c r="I94" s="2"/>
    </row>
    <row r="95" spans="1:11" x14ac:dyDescent="0.25">
      <c r="A95" t="s">
        <v>136</v>
      </c>
      <c r="C95" s="1">
        <v>2.7459397492383402E-5</v>
      </c>
      <c r="D95" s="1">
        <v>2.7477342464073299E-5</v>
      </c>
      <c r="E95" s="1">
        <v>1.3780425543199499E-5</v>
      </c>
      <c r="F95" s="1">
        <v>2.7477342464073299E-5</v>
      </c>
      <c r="G95">
        <v>3.52167067220561E-4</v>
      </c>
      <c r="H95" t="s">
        <v>212</v>
      </c>
      <c r="I95" s="2"/>
    </row>
    <row r="96" spans="1:11" x14ac:dyDescent="0.25">
      <c r="A96" t="s">
        <v>135</v>
      </c>
      <c r="C96">
        <v>0</v>
      </c>
      <c r="D96" s="1">
        <v>4.0555428521264298E-9</v>
      </c>
      <c r="E96" s="1">
        <v>1.24345131656925E-10</v>
      </c>
      <c r="F96" s="1">
        <v>4.0555428521264298E-9</v>
      </c>
      <c r="G96" s="1">
        <v>5.1153261176070701E-10</v>
      </c>
      <c r="H96" t="s">
        <v>211</v>
      </c>
      <c r="I96" s="2"/>
    </row>
    <row r="97" spans="1:9" x14ac:dyDescent="0.25">
      <c r="A97" t="s">
        <v>134</v>
      </c>
      <c r="C97">
        <v>0</v>
      </c>
      <c r="D97">
        <v>0</v>
      </c>
      <c r="E97">
        <v>0</v>
      </c>
      <c r="F97">
        <v>0</v>
      </c>
      <c r="G97">
        <v>0</v>
      </c>
      <c r="H97" t="s">
        <v>134</v>
      </c>
      <c r="I97" s="2"/>
    </row>
    <row r="98" spans="1:9" x14ac:dyDescent="0.25">
      <c r="A98" t="s">
        <v>133</v>
      </c>
      <c r="C98">
        <v>0</v>
      </c>
      <c r="D98">
        <v>0</v>
      </c>
      <c r="E98">
        <v>0</v>
      </c>
      <c r="F98">
        <v>0</v>
      </c>
      <c r="G98">
        <v>0</v>
      </c>
      <c r="H98" t="s">
        <v>133</v>
      </c>
      <c r="I98" s="2"/>
    </row>
    <row r="99" spans="1:9" x14ac:dyDescent="0.25">
      <c r="A99" t="s">
        <v>132</v>
      </c>
      <c r="C99" s="1">
        <v>4.0981115461941202E-5</v>
      </c>
      <c r="D99" s="1">
        <v>6.8632744434652804E-9</v>
      </c>
      <c r="E99" s="1">
        <v>5.4028579596634597E-11</v>
      </c>
      <c r="F99" s="1">
        <v>6.8632744434652804E-9</v>
      </c>
      <c r="G99" s="1">
        <v>1.7827605048592701E-11</v>
      </c>
      <c r="H99" t="s">
        <v>132</v>
      </c>
      <c r="I99" s="2"/>
    </row>
    <row r="100" spans="1:9" x14ac:dyDescent="0.25">
      <c r="A100" t="s">
        <v>131</v>
      </c>
      <c r="C100">
        <v>0</v>
      </c>
      <c r="D100">
        <v>0</v>
      </c>
      <c r="E100">
        <v>0</v>
      </c>
      <c r="F100">
        <v>0</v>
      </c>
      <c r="G100">
        <v>0</v>
      </c>
      <c r="H100" t="s">
        <v>131</v>
      </c>
      <c r="I100" s="2"/>
    </row>
    <row r="101" spans="1:9" x14ac:dyDescent="0.25">
      <c r="A101" t="s">
        <v>130</v>
      </c>
      <c r="C101">
        <v>2.1881869708132501E-3</v>
      </c>
      <c r="D101">
        <v>2.3030649249496699E-3</v>
      </c>
      <c r="E101">
        <v>0.29610397455967702</v>
      </c>
      <c r="F101">
        <v>2.3030649249496699E-3</v>
      </c>
      <c r="G101">
        <v>2.2962768220124298E-3</v>
      </c>
      <c r="H101" t="s">
        <v>130</v>
      </c>
      <c r="I101" s="2"/>
    </row>
    <row r="102" spans="1:9" x14ac:dyDescent="0.25">
      <c r="A102" t="s">
        <v>129</v>
      </c>
      <c r="C102" s="1">
        <v>3.9100242756779802E-5</v>
      </c>
      <c r="D102" s="1">
        <v>3.91257951291337E-5</v>
      </c>
      <c r="E102" s="1">
        <v>5.5629029337321703E-7</v>
      </c>
      <c r="F102" s="1">
        <v>3.91257951291337E-5</v>
      </c>
      <c r="G102">
        <v>3.5105082256543899E-4</v>
      </c>
      <c r="H102" t="s">
        <v>129</v>
      </c>
      <c r="I102" s="2"/>
    </row>
    <row r="103" spans="1:9" x14ac:dyDescent="0.25">
      <c r="A103" t="s">
        <v>128</v>
      </c>
      <c r="C103" s="1">
        <v>5.23561776331973E-6</v>
      </c>
      <c r="D103" s="1">
        <v>5.2331529357877002E-6</v>
      </c>
      <c r="E103" s="1">
        <v>1.9447580335496301E-12</v>
      </c>
      <c r="F103" s="1">
        <v>5.2331529357877002E-6</v>
      </c>
      <c r="G103" s="1">
        <v>5.9429472463174899E-6</v>
      </c>
      <c r="H103" t="s">
        <v>210</v>
      </c>
      <c r="I103" s="2"/>
    </row>
    <row r="104" spans="1:9" x14ac:dyDescent="0.25">
      <c r="A104" t="s">
        <v>127</v>
      </c>
      <c r="C104">
        <v>0</v>
      </c>
      <c r="D104" s="1">
        <v>2.2569129697905602E-16</v>
      </c>
      <c r="E104" s="1">
        <v>1.21140066296085E-13</v>
      </c>
      <c r="F104" s="1">
        <v>2.2569129697905602E-16</v>
      </c>
      <c r="G104" s="1">
        <v>3.70189509951014E-7</v>
      </c>
      <c r="H104" t="s">
        <v>209</v>
      </c>
      <c r="I104" s="2"/>
    </row>
    <row r="105" spans="1:9" x14ac:dyDescent="0.25">
      <c r="A105" t="s">
        <v>126</v>
      </c>
      <c r="C105">
        <v>0</v>
      </c>
      <c r="D105">
        <v>0</v>
      </c>
      <c r="E105" s="1">
        <v>6.7774893605487898E-14</v>
      </c>
      <c r="F105">
        <v>0</v>
      </c>
      <c r="G105" s="1">
        <v>2.0756670799562099E-7</v>
      </c>
      <c r="H105" t="s">
        <v>208</v>
      </c>
      <c r="I105" s="2"/>
    </row>
    <row r="106" spans="1:9" x14ac:dyDescent="0.25">
      <c r="A106" t="s">
        <v>125</v>
      </c>
      <c r="C106">
        <v>0</v>
      </c>
      <c r="D106" s="1">
        <v>6.9832991038440605E-10</v>
      </c>
      <c r="E106" s="1">
        <v>5.5807307413408704E-87</v>
      </c>
      <c r="F106" s="1">
        <v>6.9832991038440605E-10</v>
      </c>
      <c r="G106" s="1">
        <v>4.3846973325638802E-8</v>
      </c>
      <c r="H106" t="s">
        <v>207</v>
      </c>
      <c r="I106" s="2"/>
    </row>
    <row r="107" spans="1:9" x14ac:dyDescent="0.25">
      <c r="A107" t="s">
        <v>124</v>
      </c>
      <c r="C107">
        <v>0</v>
      </c>
      <c r="D107" s="1">
        <v>1.24096674126236E-9</v>
      </c>
      <c r="E107" s="1">
        <v>5.5809305320469501E-87</v>
      </c>
      <c r="F107" s="1">
        <v>1.24096674126236E-9</v>
      </c>
      <c r="G107" s="1">
        <v>4.38485430515701E-8</v>
      </c>
      <c r="H107" t="s">
        <v>206</v>
      </c>
      <c r="I107" s="2"/>
    </row>
    <row r="108" spans="1:9" x14ac:dyDescent="0.25">
      <c r="A108" t="s">
        <v>123</v>
      </c>
      <c r="C108" s="1">
        <v>1.0482102965221201E-6</v>
      </c>
      <c r="D108" s="1">
        <v>1.04418622974754E-6</v>
      </c>
      <c r="E108" s="1">
        <v>1.02864057091138E-12</v>
      </c>
      <c r="F108" s="1">
        <v>1.04418622974754E-6</v>
      </c>
      <c r="G108" s="1">
        <v>1.1877873392979801E-6</v>
      </c>
      <c r="H108" t="s">
        <v>205</v>
      </c>
      <c r="I108" s="2"/>
    </row>
    <row r="109" spans="1:9" x14ac:dyDescent="0.25">
      <c r="A109" t="s">
        <v>122</v>
      </c>
      <c r="C109" s="1">
        <v>5.6247268279124804E-6</v>
      </c>
      <c r="D109" s="1">
        <v>5.6196385144685398E-6</v>
      </c>
      <c r="E109" s="1">
        <v>4.9498828907040902E-14</v>
      </c>
      <c r="F109" s="1">
        <v>5.6196385144685398E-6</v>
      </c>
      <c r="G109" s="1">
        <v>6.10003908078387E-6</v>
      </c>
      <c r="H109" t="s">
        <v>204</v>
      </c>
      <c r="I109" s="2"/>
    </row>
    <row r="110" spans="1:9" x14ac:dyDescent="0.25">
      <c r="A110" t="s">
        <v>121</v>
      </c>
      <c r="C110">
        <v>0</v>
      </c>
      <c r="D110">
        <v>0</v>
      </c>
      <c r="E110" s="1">
        <v>1.57557112326194E-86</v>
      </c>
      <c r="F110">
        <v>0</v>
      </c>
      <c r="G110" s="1">
        <v>1.2379028520862501E-7</v>
      </c>
      <c r="H110" t="s">
        <v>203</v>
      </c>
      <c r="I110" s="2"/>
    </row>
    <row r="111" spans="1:9" x14ac:dyDescent="0.25">
      <c r="A111" t="s">
        <v>120</v>
      </c>
      <c r="C111" s="1">
        <v>6.3534008152858298E-9</v>
      </c>
      <c r="D111" s="1">
        <v>2.0958471539180299E-10</v>
      </c>
      <c r="E111" s="1">
        <v>2.6589614310002399E-86</v>
      </c>
      <c r="F111" s="1">
        <v>2.0958471539180299E-10</v>
      </c>
      <c r="G111" s="1">
        <v>2.0891065407495E-7</v>
      </c>
      <c r="H111" t="s">
        <v>202</v>
      </c>
      <c r="I111" s="2"/>
    </row>
    <row r="112" spans="1:9" x14ac:dyDescent="0.25">
      <c r="A112" t="s">
        <v>119</v>
      </c>
      <c r="C112" s="1">
        <v>1.9266510274001399E-5</v>
      </c>
      <c r="D112" s="1">
        <v>1.9256602170570599E-5</v>
      </c>
      <c r="E112" s="1">
        <v>2.4765950576889902E-84</v>
      </c>
      <c r="F112" s="1">
        <v>1.9256602170570599E-5</v>
      </c>
      <c r="G112" s="1">
        <v>1.9458239873226201E-5</v>
      </c>
      <c r="H112" t="s">
        <v>201</v>
      </c>
      <c r="I112" s="2"/>
    </row>
    <row r="113" spans="1:9" x14ac:dyDescent="0.25">
      <c r="A113" t="s">
        <v>118</v>
      </c>
      <c r="C113" s="1">
        <v>4.2742536219780301E-6</v>
      </c>
      <c r="D113" s="1">
        <v>4.26789033823569E-6</v>
      </c>
      <c r="E113" s="1">
        <v>5.6163720206510999E-85</v>
      </c>
      <c r="F113" s="1">
        <v>4.26789033823569E-6</v>
      </c>
      <c r="G113" s="1">
        <v>4.4127001568469197E-6</v>
      </c>
      <c r="H113" t="s">
        <v>200</v>
      </c>
      <c r="I113" s="2"/>
    </row>
    <row r="114" spans="1:9" x14ac:dyDescent="0.25">
      <c r="A114" t="s">
        <v>117</v>
      </c>
      <c r="C114" s="1">
        <v>7.4087895942195898E-7</v>
      </c>
      <c r="D114" s="1">
        <v>7.3534597043925802E-7</v>
      </c>
      <c r="E114" s="1">
        <v>1.1034309055941399E-85</v>
      </c>
      <c r="F114" s="1">
        <v>7.3534597043925802E-7</v>
      </c>
      <c r="G114" s="1">
        <v>8.6694928902172595E-7</v>
      </c>
      <c r="H114" t="s">
        <v>199</v>
      </c>
      <c r="I114" s="2"/>
    </row>
    <row r="115" spans="1:9" x14ac:dyDescent="0.25">
      <c r="A115" t="s">
        <v>116</v>
      </c>
      <c r="C115" s="1">
        <v>4.7693306964258998E-6</v>
      </c>
      <c r="D115" s="1">
        <v>4.7627677188287298E-6</v>
      </c>
      <c r="E115" s="1">
        <v>6.2453653964605497E-85</v>
      </c>
      <c r="F115" s="1">
        <v>4.7627677188287298E-6</v>
      </c>
      <c r="G115" s="1">
        <v>4.9068909187630503E-6</v>
      </c>
      <c r="H115" t="s">
        <v>198</v>
      </c>
      <c r="I115" s="2"/>
    </row>
    <row r="116" spans="1:9" x14ac:dyDescent="0.25">
      <c r="A116" t="s">
        <v>115</v>
      </c>
      <c r="C116" s="1">
        <v>1.38485672881749E-8</v>
      </c>
      <c r="D116" s="1">
        <v>4.1778378838973601E-9</v>
      </c>
      <c r="E116" s="1">
        <v>1.11866174678565E-13</v>
      </c>
      <c r="F116" s="1">
        <v>4.1778378838973601E-9</v>
      </c>
      <c r="G116" s="1">
        <v>2.1255838817526699E-7</v>
      </c>
      <c r="H116" t="s">
        <v>197</v>
      </c>
      <c r="I116" s="2"/>
    </row>
    <row r="117" spans="1:9" x14ac:dyDescent="0.25">
      <c r="A117" t="s">
        <v>114</v>
      </c>
      <c r="C117" s="1">
        <v>9.4917401103184803E-7</v>
      </c>
      <c r="D117" s="1">
        <v>9.4351552913884199E-7</v>
      </c>
      <c r="E117" s="1">
        <v>1.3710616437248699E-85</v>
      </c>
      <c r="F117" s="1">
        <v>9.4351552913884199E-7</v>
      </c>
      <c r="G117" s="1">
        <v>1.07722278867313E-6</v>
      </c>
      <c r="H117" t="s">
        <v>196</v>
      </c>
      <c r="I117" s="2"/>
    </row>
    <row r="118" spans="1:9" x14ac:dyDescent="0.25">
      <c r="A118" t="s">
        <v>113</v>
      </c>
      <c r="C118" s="1">
        <v>2.4556979733109301E-5</v>
      </c>
      <c r="D118" s="1">
        <v>2.4540325989782202E-5</v>
      </c>
      <c r="E118" s="1">
        <v>2.01420723096796E-13</v>
      </c>
      <c r="F118" s="1">
        <v>2.4540325989782202E-5</v>
      </c>
      <c r="G118" s="1">
        <v>2.48283852914638E-5</v>
      </c>
      <c r="H118" t="s">
        <v>195</v>
      </c>
      <c r="I118" s="2"/>
    </row>
    <row r="119" spans="1:9" x14ac:dyDescent="0.25">
      <c r="A119" t="s">
        <v>112</v>
      </c>
      <c r="C119" s="1">
        <v>8.0169915788412897E-7</v>
      </c>
      <c r="D119" s="1">
        <v>7.9607510763482399E-7</v>
      </c>
      <c r="E119" s="1">
        <v>1.1817731250579E-85</v>
      </c>
      <c r="F119" s="1">
        <v>7.9607510763482399E-7</v>
      </c>
      <c r="G119" s="1">
        <v>9.2850160835605199E-7</v>
      </c>
      <c r="H119" t="s">
        <v>194</v>
      </c>
      <c r="I119" s="2"/>
    </row>
    <row r="120" spans="1:9" x14ac:dyDescent="0.25">
      <c r="A120" t="s">
        <v>111</v>
      </c>
      <c r="C120" s="1">
        <v>1.0258676886383801E-5</v>
      </c>
      <c r="D120" s="1">
        <v>1.0250861357798E-5</v>
      </c>
      <c r="E120" s="1">
        <v>8.4395908281712002E-14</v>
      </c>
      <c r="F120" s="1">
        <v>1.0250861357798E-5</v>
      </c>
      <c r="G120" s="1">
        <v>1.04006165427373E-5</v>
      </c>
      <c r="H120" t="s">
        <v>193</v>
      </c>
      <c r="I120" s="2"/>
    </row>
    <row r="121" spans="1:9" x14ac:dyDescent="0.25">
      <c r="A121" t="s">
        <v>110</v>
      </c>
      <c r="C121" s="1">
        <v>3.4410381249709598E-7</v>
      </c>
      <c r="D121" s="1">
        <v>3.44328687539433E-7</v>
      </c>
      <c r="E121">
        <v>2.9554900557476099E-3</v>
      </c>
      <c r="F121" s="1">
        <v>3.44328687539433E-7</v>
      </c>
      <c r="G121" s="1">
        <v>2.41443087974614E-7</v>
      </c>
      <c r="H121" t="s">
        <v>192</v>
      </c>
      <c r="I121" s="2"/>
    </row>
    <row r="122" spans="1:9" x14ac:dyDescent="0.25">
      <c r="A122" t="s">
        <v>109</v>
      </c>
      <c r="C122">
        <v>9.1017441242287095E-4</v>
      </c>
      <c r="D122" s="1">
        <v>1.8980978997212298E-8</v>
      </c>
      <c r="E122">
        <v>0.54265542413655599</v>
      </c>
      <c r="F122" s="1">
        <v>1.8980978997212298E-8</v>
      </c>
      <c r="G122">
        <v>1.15844176130756E-3</v>
      </c>
      <c r="H122" t="s">
        <v>191</v>
      </c>
      <c r="I122" s="2"/>
    </row>
    <row r="123" spans="1:9" x14ac:dyDescent="0.25">
      <c r="A123" t="s">
        <v>108</v>
      </c>
      <c r="C123">
        <v>0</v>
      </c>
      <c r="D123" s="1">
        <v>6.6354466501515701E-10</v>
      </c>
      <c r="E123" s="1">
        <v>7.9544923879941707E-12</v>
      </c>
      <c r="F123" s="1">
        <v>6.6354466501515701E-10</v>
      </c>
      <c r="G123" s="1">
        <v>4.0501626673193802E-8</v>
      </c>
      <c r="H123" t="s">
        <v>190</v>
      </c>
      <c r="I123" s="2"/>
    </row>
    <row r="124" spans="1:9" x14ac:dyDescent="0.25">
      <c r="A124" t="s">
        <v>107</v>
      </c>
      <c r="C124" s="1">
        <v>9.9455499714464499E-5</v>
      </c>
      <c r="D124" s="1">
        <v>9.9520494808667695E-5</v>
      </c>
      <c r="E124" s="1">
        <v>7.2525808422540204E-8</v>
      </c>
      <c r="F124" s="1">
        <v>9.9520494808667695E-5</v>
      </c>
      <c r="G124" s="1">
        <v>9.9821485238082603E-5</v>
      </c>
      <c r="H124" t="s">
        <v>189</v>
      </c>
      <c r="I124" s="2"/>
    </row>
    <row r="125" spans="1:9" x14ac:dyDescent="0.25">
      <c r="A125" t="s">
        <v>106</v>
      </c>
      <c r="C125" s="1">
        <v>1.3688975687480601E-5</v>
      </c>
      <c r="D125" s="1">
        <v>3.09103178744262E-8</v>
      </c>
      <c r="E125">
        <v>3.1477166731802998E-4</v>
      </c>
      <c r="F125" s="1">
        <v>3.09103178744262E-8</v>
      </c>
      <c r="G125" s="1">
        <v>1.2682986202537199E-5</v>
      </c>
      <c r="H125" t="s">
        <v>106</v>
      </c>
      <c r="I125" s="2"/>
    </row>
    <row r="126" spans="1:9" x14ac:dyDescent="0.25">
      <c r="A126" t="s">
        <v>105</v>
      </c>
      <c r="C126" s="1">
        <v>2.16871763466919E-8</v>
      </c>
      <c r="D126" s="1">
        <v>2.1701349118169599E-8</v>
      </c>
      <c r="E126" s="1">
        <v>3.0504498553175202E-6</v>
      </c>
      <c r="F126" s="1">
        <v>2.1701349118169599E-8</v>
      </c>
      <c r="G126" s="1">
        <v>7.0832507796453005E-7</v>
      </c>
      <c r="H126" t="s">
        <v>105</v>
      </c>
      <c r="I126" s="2"/>
    </row>
    <row r="127" spans="1:9" x14ac:dyDescent="0.25">
      <c r="A127" t="s">
        <v>104</v>
      </c>
      <c r="C127" s="1">
        <v>7.3558828501257204E-7</v>
      </c>
      <c r="D127" s="1">
        <v>7.3606899879930499E-7</v>
      </c>
      <c r="E127">
        <v>9.8399374766106008E-4</v>
      </c>
      <c r="F127" s="1">
        <v>7.3606899879930499E-7</v>
      </c>
      <c r="G127" s="1">
        <v>1.5926335693685101E-6</v>
      </c>
      <c r="H127" t="s">
        <v>188</v>
      </c>
      <c r="I127" s="2"/>
    </row>
    <row r="128" spans="1:9" x14ac:dyDescent="0.25">
      <c r="A128" t="s">
        <v>103</v>
      </c>
      <c r="C128">
        <v>0</v>
      </c>
      <c r="D128">
        <v>0</v>
      </c>
      <c r="E128" s="1">
        <v>2.8165942821214298E-16</v>
      </c>
      <c r="F128">
        <v>0</v>
      </c>
      <c r="G128" s="1">
        <v>7.2737679446015298E-16</v>
      </c>
      <c r="H128" t="s">
        <v>187</v>
      </c>
      <c r="I128" s="2"/>
    </row>
    <row r="129" spans="1:9" x14ac:dyDescent="0.25">
      <c r="A129" t="s">
        <v>102</v>
      </c>
      <c r="C129">
        <v>0</v>
      </c>
      <c r="D129">
        <v>0</v>
      </c>
      <c r="E129">
        <v>0</v>
      </c>
      <c r="F129">
        <v>0</v>
      </c>
      <c r="G129">
        <v>0</v>
      </c>
      <c r="H129" t="s">
        <v>102</v>
      </c>
      <c r="I129" s="2"/>
    </row>
    <row r="130" spans="1:9" x14ac:dyDescent="0.25">
      <c r="A130" t="s">
        <v>101</v>
      </c>
      <c r="C130">
        <v>0</v>
      </c>
      <c r="D130">
        <v>0</v>
      </c>
      <c r="E130">
        <v>0</v>
      </c>
      <c r="F130">
        <v>0</v>
      </c>
      <c r="G130">
        <v>0</v>
      </c>
      <c r="H130" t="s">
        <v>101</v>
      </c>
      <c r="I130" s="2"/>
    </row>
    <row r="131" spans="1:9" x14ac:dyDescent="0.25">
      <c r="A131" t="s">
        <v>100</v>
      </c>
      <c r="C131">
        <v>0</v>
      </c>
      <c r="D131">
        <v>0</v>
      </c>
      <c r="E131">
        <v>0</v>
      </c>
      <c r="F131">
        <v>0</v>
      </c>
      <c r="G131">
        <v>0</v>
      </c>
      <c r="H131" t="s">
        <v>100</v>
      </c>
      <c r="I131" s="2"/>
    </row>
    <row r="132" spans="1:9" x14ac:dyDescent="0.25">
      <c r="A132" t="s">
        <v>99</v>
      </c>
      <c r="C132">
        <v>0</v>
      </c>
      <c r="D132">
        <v>0</v>
      </c>
      <c r="E132">
        <v>0</v>
      </c>
      <c r="F132">
        <v>0</v>
      </c>
      <c r="G132">
        <v>0</v>
      </c>
      <c r="H132" t="s">
        <v>99</v>
      </c>
      <c r="I132" s="2"/>
    </row>
    <row r="133" spans="1:9" x14ac:dyDescent="0.25">
      <c r="A133" t="s">
        <v>98</v>
      </c>
      <c r="C133">
        <v>2.3220992583068001E-4</v>
      </c>
      <c r="D133">
        <v>7.7453892392412803E-4</v>
      </c>
      <c r="E133" s="1">
        <v>2.9659864698968799E-83</v>
      </c>
      <c r="F133">
        <v>7.7453892392412803E-4</v>
      </c>
      <c r="G133">
        <v>2.3303315579516299E-4</v>
      </c>
      <c r="H133" t="s">
        <v>176</v>
      </c>
      <c r="I133" s="2"/>
    </row>
    <row r="134" spans="1:9" x14ac:dyDescent="0.25">
      <c r="A134" t="s">
        <v>97</v>
      </c>
      <c r="C134">
        <v>2.30276833482352E-4</v>
      </c>
      <c r="D134">
        <v>5.7606830383769795E-4</v>
      </c>
      <c r="E134" s="1">
        <v>5.3648825631983298E-11</v>
      </c>
      <c r="F134">
        <v>5.7606830383769795E-4</v>
      </c>
      <c r="G134">
        <v>2.31093209479539E-4</v>
      </c>
      <c r="H134" t="s">
        <v>186</v>
      </c>
      <c r="I134" s="2"/>
    </row>
    <row r="135" spans="1:9" x14ac:dyDescent="0.25">
      <c r="A135" t="s">
        <v>96</v>
      </c>
      <c r="C135">
        <v>0</v>
      </c>
      <c r="D135">
        <v>0</v>
      </c>
      <c r="E135">
        <v>0</v>
      </c>
      <c r="F135">
        <v>0</v>
      </c>
      <c r="G135">
        <v>0</v>
      </c>
      <c r="H135" t="s">
        <v>185</v>
      </c>
      <c r="I135" s="2"/>
    </row>
    <row r="136" spans="1:9" x14ac:dyDescent="0.25">
      <c r="A136" t="s">
        <v>95</v>
      </c>
      <c r="C136" s="1">
        <v>8.5815217720704598E-8</v>
      </c>
      <c r="D136" s="1">
        <v>8.5871298763742398E-7</v>
      </c>
      <c r="E136" s="1">
        <v>6.2989905069236297E-24</v>
      </c>
      <c r="F136" s="1">
        <v>8.5871298763742398E-7</v>
      </c>
      <c r="G136" s="1">
        <v>8.6119449584969496E-8</v>
      </c>
      <c r="H136" t="s">
        <v>184</v>
      </c>
      <c r="I136" s="2"/>
    </row>
    <row r="137" spans="1:9" x14ac:dyDescent="0.25">
      <c r="A137" t="s">
        <v>94</v>
      </c>
      <c r="C137" s="1">
        <v>9.4214665838640905E-8</v>
      </c>
      <c r="D137" s="1">
        <v>9.4276235999155798E-7</v>
      </c>
      <c r="E137" s="1">
        <v>6.41419717927336E-23</v>
      </c>
      <c r="F137" s="1">
        <v>9.4276235999155798E-7</v>
      </c>
      <c r="G137" s="1">
        <v>9.4548675402334794E-8</v>
      </c>
      <c r="H137" t="s">
        <v>183</v>
      </c>
      <c r="I137" s="2"/>
    </row>
    <row r="138" spans="1:9" x14ac:dyDescent="0.25">
      <c r="A138" t="s">
        <v>93</v>
      </c>
      <c r="C138" s="1">
        <v>3.7346934282198799E-6</v>
      </c>
      <c r="D138" s="1">
        <v>3.7067193904929398E-8</v>
      </c>
      <c r="E138" s="1">
        <v>1.63939661562421E-15</v>
      </c>
      <c r="F138" s="1">
        <v>3.7067193904929398E-8</v>
      </c>
      <c r="G138" s="1">
        <v>1.8739672946943902E-9</v>
      </c>
      <c r="H138" t="s">
        <v>182</v>
      </c>
      <c r="I138" s="2"/>
    </row>
    <row r="139" spans="1:9" x14ac:dyDescent="0.25">
      <c r="A139" t="s">
        <v>92</v>
      </c>
      <c r="C139">
        <v>0</v>
      </c>
      <c r="D139">
        <v>0</v>
      </c>
      <c r="E139">
        <v>0</v>
      </c>
      <c r="F139">
        <v>0</v>
      </c>
      <c r="G139">
        <v>0</v>
      </c>
      <c r="H139" t="s">
        <v>181</v>
      </c>
      <c r="I139" s="2"/>
    </row>
    <row r="140" spans="1:9" x14ac:dyDescent="0.25">
      <c r="A140" t="s">
        <v>91</v>
      </c>
      <c r="C140" s="1">
        <v>1.28206051623061E-7</v>
      </c>
      <c r="D140" s="1">
        <v>1.2828983547037601E-6</v>
      </c>
      <c r="E140" s="1">
        <v>8.4745044605475205E-20</v>
      </c>
      <c r="F140" s="1">
        <v>1.2828983547037601E-6</v>
      </c>
      <c r="G140" s="1">
        <v>1.2866056735035499E-7</v>
      </c>
      <c r="H140" t="s">
        <v>180</v>
      </c>
      <c r="I140" s="2"/>
    </row>
    <row r="141" spans="1:9" x14ac:dyDescent="0.25">
      <c r="A141" t="s">
        <v>90</v>
      </c>
      <c r="C141">
        <v>1.8707980427316401E-4</v>
      </c>
      <c r="D141">
        <v>1.43994702535235E-4</v>
      </c>
      <c r="E141" s="1">
        <v>1.8171091451727901E-12</v>
      </c>
      <c r="F141">
        <v>1.43994702535235E-4</v>
      </c>
      <c r="G141">
        <v>1.8774303903364999E-4</v>
      </c>
      <c r="H141" t="s">
        <v>179</v>
      </c>
      <c r="I141" s="2"/>
    </row>
    <row r="142" spans="1:9" x14ac:dyDescent="0.25">
      <c r="A142" t="s">
        <v>89</v>
      </c>
      <c r="C142" s="1">
        <v>1.4390066211397301E-5</v>
      </c>
      <c r="D142">
        <v>0</v>
      </c>
      <c r="E142" s="1">
        <v>1.5984708986485299E-5</v>
      </c>
      <c r="F142">
        <v>0</v>
      </c>
      <c r="G142" s="1">
        <v>1.4210517145464301E-5</v>
      </c>
      <c r="H142" t="s">
        <v>178</v>
      </c>
      <c r="I142" s="2"/>
    </row>
    <row r="143" spans="1:9" x14ac:dyDescent="0.25">
      <c r="A143" t="s">
        <v>88</v>
      </c>
      <c r="C143" s="1">
        <v>1.16537910544557E-6</v>
      </c>
      <c r="D143" s="1">
        <v>1.1532172298013599E-8</v>
      </c>
      <c r="E143" s="1">
        <v>3.4982126458185998E-17</v>
      </c>
      <c r="F143" s="1">
        <v>1.1532172298013599E-8</v>
      </c>
      <c r="G143" s="1">
        <v>5.8475590850162605E-10</v>
      </c>
      <c r="H143" t="s">
        <v>177</v>
      </c>
      <c r="I143" s="2"/>
    </row>
    <row r="144" spans="1:9" x14ac:dyDescent="0.25">
      <c r="A144" t="s">
        <v>87</v>
      </c>
      <c r="C144">
        <v>0</v>
      </c>
      <c r="D144">
        <v>0</v>
      </c>
      <c r="E144">
        <v>0</v>
      </c>
      <c r="F144">
        <v>0</v>
      </c>
      <c r="G144">
        <v>0</v>
      </c>
      <c r="H144" t="s">
        <v>176</v>
      </c>
      <c r="I144" s="2"/>
    </row>
    <row r="145" spans="1:9" x14ac:dyDescent="0.25">
      <c r="A145" t="s">
        <v>86</v>
      </c>
      <c r="C145">
        <v>1.0299154127428899E-3</v>
      </c>
      <c r="D145">
        <v>2.0547866645306999E-3</v>
      </c>
      <c r="E145">
        <v>1.9805813668182198E-3</v>
      </c>
      <c r="F145">
        <v>2.0547866645306999E-3</v>
      </c>
      <c r="G145">
        <v>1.00499860601264E-3</v>
      </c>
      <c r="H145" t="s">
        <v>175</v>
      </c>
      <c r="I145" s="2"/>
    </row>
    <row r="146" spans="1:9" x14ac:dyDescent="0.25">
      <c r="A146" t="s">
        <v>85</v>
      </c>
      <c r="C146" s="1">
        <v>1.51756506184379E-6</v>
      </c>
      <c r="D146" s="1">
        <v>1.5185568047281599E-5</v>
      </c>
      <c r="E146" s="1">
        <v>1.42133935446051E-5</v>
      </c>
      <c r="F146" s="1">
        <v>1.5185568047281599E-5</v>
      </c>
      <c r="G146" s="1">
        <v>1.3179300335786001E-6</v>
      </c>
      <c r="H146" t="s">
        <v>174</v>
      </c>
      <c r="I146" s="2"/>
    </row>
    <row r="147" spans="1:9" x14ac:dyDescent="0.25">
      <c r="A147" t="s">
        <v>84</v>
      </c>
      <c r="C147" s="1">
        <v>1.30722403744793E-7</v>
      </c>
      <c r="D147" s="1">
        <v>2.6161566410325298E-7</v>
      </c>
      <c r="E147" s="1">
        <v>9.0928587710722293E-6</v>
      </c>
      <c r="F147" s="1">
        <v>2.6161566410325298E-7</v>
      </c>
      <c r="G147" s="1">
        <v>2.9737272910223001E-11</v>
      </c>
      <c r="H147" t="s">
        <v>173</v>
      </c>
      <c r="I147" s="2"/>
    </row>
    <row r="148" spans="1:9" x14ac:dyDescent="0.25">
      <c r="A148" t="s">
        <v>83</v>
      </c>
      <c r="C148">
        <v>0</v>
      </c>
      <c r="D148">
        <v>0</v>
      </c>
      <c r="E148">
        <v>0</v>
      </c>
      <c r="F148">
        <v>0</v>
      </c>
      <c r="G148">
        <v>0</v>
      </c>
      <c r="H148" t="s">
        <v>172</v>
      </c>
      <c r="I148" s="2"/>
    </row>
    <row r="149" spans="1:9" x14ac:dyDescent="0.25">
      <c r="A149" t="s">
        <v>82</v>
      </c>
      <c r="C149">
        <v>2.0917896328256302E-3</v>
      </c>
      <c r="D149">
        <v>2.0931566368086098E-3</v>
      </c>
      <c r="E149" s="1">
        <v>5.6698890775887903E-15</v>
      </c>
      <c r="F149">
        <v>2.0931566368086098E-3</v>
      </c>
      <c r="G149">
        <v>2.09920543944525E-3</v>
      </c>
      <c r="H149" t="s">
        <v>82</v>
      </c>
      <c r="I149" s="2"/>
    </row>
    <row r="150" spans="1:9" x14ac:dyDescent="0.25">
      <c r="A150" t="s">
        <v>3</v>
      </c>
      <c r="B150" t="s">
        <v>2</v>
      </c>
      <c r="C150">
        <v>0.33457729426625099</v>
      </c>
      <c r="D150">
        <v>0.33457730893881199</v>
      </c>
      <c r="E150">
        <v>6.3011099948966998E-3</v>
      </c>
      <c r="F150">
        <v>0.33457730893881199</v>
      </c>
      <c r="G150">
        <v>0.32816181624650997</v>
      </c>
      <c r="I150" s="2"/>
    </row>
    <row r="151" spans="1:9" x14ac:dyDescent="0.25">
      <c r="A151" t="s">
        <v>142</v>
      </c>
      <c r="B151" t="s">
        <v>2</v>
      </c>
      <c r="C151">
        <v>0.31490783166346897</v>
      </c>
      <c r="D151">
        <v>0.315205742009038</v>
      </c>
      <c r="E151">
        <v>7.0921826353182295E-4</v>
      </c>
      <c r="F151">
        <v>0.315205742009038</v>
      </c>
      <c r="G151">
        <v>0.31476856719457103</v>
      </c>
      <c r="H151" t="s">
        <v>217</v>
      </c>
      <c r="I151" s="2"/>
    </row>
    <row r="152" spans="1:9" x14ac:dyDescent="0.25">
      <c r="A152" t="s">
        <v>141</v>
      </c>
      <c r="B152" t="s">
        <v>2</v>
      </c>
      <c r="C152" s="1">
        <v>4.9406700394174997E-5</v>
      </c>
      <c r="D152" s="1">
        <v>4.4879633450438298E-5</v>
      </c>
      <c r="E152" s="1">
        <v>1.8728482555646098E-12</v>
      </c>
      <c r="F152" s="1">
        <v>4.4879633450438298E-5</v>
      </c>
      <c r="G152" s="1">
        <v>3.8818583843932097E-5</v>
      </c>
      <c r="H152" t="s">
        <v>216</v>
      </c>
      <c r="I152" s="2"/>
    </row>
    <row r="153" spans="1:9" x14ac:dyDescent="0.25">
      <c r="A153" t="s">
        <v>140</v>
      </c>
      <c r="B153" t="s">
        <v>2</v>
      </c>
      <c r="C153" s="1">
        <v>1.17131053882624E-5</v>
      </c>
      <c r="D153" s="1">
        <v>1.16218155278374E-7</v>
      </c>
      <c r="E153" s="1">
        <v>2.1446265327600801E-15</v>
      </c>
      <c r="F153" s="1">
        <v>1.16218155278374E-7</v>
      </c>
      <c r="G153" s="1">
        <v>3.1510311241214698E-6</v>
      </c>
      <c r="H153" t="s">
        <v>215</v>
      </c>
      <c r="I153" s="2"/>
    </row>
    <row r="154" spans="1:9" x14ac:dyDescent="0.25">
      <c r="A154" t="s">
        <v>139</v>
      </c>
      <c r="B154" t="s">
        <v>2</v>
      </c>
      <c r="C154">
        <v>6.3716775777764899E-3</v>
      </c>
      <c r="D154">
        <v>5.6303844622038997E-3</v>
      </c>
      <c r="E154" s="1">
        <v>3.1587664037294798E-16</v>
      </c>
      <c r="F154">
        <v>5.6303844622038997E-3</v>
      </c>
      <c r="G154">
        <v>1.22652981634558E-3</v>
      </c>
      <c r="H154" t="s">
        <v>185</v>
      </c>
      <c r="I154" s="2"/>
    </row>
    <row r="155" spans="1:9" x14ac:dyDescent="0.25">
      <c r="A155" t="s">
        <v>138</v>
      </c>
      <c r="B155" t="s">
        <v>2</v>
      </c>
      <c r="C155">
        <v>4.54714595968335E-3</v>
      </c>
      <c r="D155">
        <v>2.03331533341501E-3</v>
      </c>
      <c r="E155" s="1">
        <v>3.51048240632813E-6</v>
      </c>
      <c r="F155">
        <v>2.03331533341501E-3</v>
      </c>
      <c r="G155">
        <v>1.153701099563E-3</v>
      </c>
      <c r="H155" t="s">
        <v>214</v>
      </c>
      <c r="I155" s="2"/>
    </row>
    <row r="156" spans="1:9" x14ac:dyDescent="0.25">
      <c r="A156" t="s">
        <v>137</v>
      </c>
      <c r="B156" t="s">
        <v>2</v>
      </c>
      <c r="C156" s="1">
        <v>4.3539942899679197E-5</v>
      </c>
      <c r="D156" s="1">
        <v>4.3539942899679001E-5</v>
      </c>
      <c r="E156" s="1">
        <v>2.77908055810592E-6</v>
      </c>
      <c r="F156" s="1">
        <v>4.3539942899679001E-5</v>
      </c>
      <c r="G156">
        <v>1.1004307367784899E-3</v>
      </c>
      <c r="H156" t="s">
        <v>213</v>
      </c>
      <c r="I156" s="2"/>
    </row>
    <row r="157" spans="1:9" x14ac:dyDescent="0.25">
      <c r="A157" t="s">
        <v>136</v>
      </c>
      <c r="B157" t="s">
        <v>2</v>
      </c>
      <c r="C157" s="1">
        <v>4.2870097624299399E-5</v>
      </c>
      <c r="D157" s="1">
        <v>4.2870097624299298E-5</v>
      </c>
      <c r="E157" s="1">
        <v>3.0922686657603199E-7</v>
      </c>
      <c r="F157" s="1">
        <v>4.2870097624299298E-5</v>
      </c>
      <c r="G157">
        <v>5.4786716452049798E-4</v>
      </c>
      <c r="H157" t="s">
        <v>212</v>
      </c>
      <c r="I157" s="2"/>
    </row>
    <row r="158" spans="1:9" x14ac:dyDescent="0.25">
      <c r="A158" t="s">
        <v>135</v>
      </c>
      <c r="B158" t="s">
        <v>2</v>
      </c>
      <c r="C158">
        <v>0</v>
      </c>
      <c r="D158" s="1">
        <v>7.33480576540745E-9</v>
      </c>
      <c r="E158" s="1">
        <v>3.23447094647314E-12</v>
      </c>
      <c r="F158" s="1">
        <v>7.33480576540745E-9</v>
      </c>
      <c r="G158" s="1">
        <v>9.2248589739192395E-10</v>
      </c>
      <c r="H158" t="s">
        <v>211</v>
      </c>
      <c r="I158" s="2"/>
    </row>
    <row r="159" spans="1:9" x14ac:dyDescent="0.25">
      <c r="A159" t="s">
        <v>134</v>
      </c>
      <c r="B159" t="s">
        <v>2</v>
      </c>
      <c r="C159">
        <v>0</v>
      </c>
      <c r="D159">
        <v>0</v>
      </c>
      <c r="E159">
        <v>0</v>
      </c>
      <c r="F159">
        <v>0</v>
      </c>
      <c r="G159">
        <v>0</v>
      </c>
      <c r="H159" t="s">
        <v>134</v>
      </c>
      <c r="I159" s="2"/>
    </row>
    <row r="160" spans="1:9" x14ac:dyDescent="0.25">
      <c r="A160" t="s">
        <v>133</v>
      </c>
      <c r="B160" t="s">
        <v>2</v>
      </c>
      <c r="C160">
        <v>0</v>
      </c>
      <c r="D160">
        <v>0</v>
      </c>
      <c r="E160">
        <v>0</v>
      </c>
      <c r="F160">
        <v>0</v>
      </c>
      <c r="G160">
        <v>0</v>
      </c>
      <c r="H160" t="s">
        <v>133</v>
      </c>
      <c r="I160" s="2"/>
    </row>
    <row r="161" spans="1:9" x14ac:dyDescent="0.25">
      <c r="A161" t="s">
        <v>132</v>
      </c>
      <c r="B161" t="s">
        <v>2</v>
      </c>
      <c r="C161" s="1">
        <v>1.23671352537233E-5</v>
      </c>
      <c r="D161" s="1">
        <v>2.0698219009232101E-9</v>
      </c>
      <c r="E161" s="1">
        <v>2.34347328764759E-13</v>
      </c>
      <c r="F161" s="1">
        <v>2.0698219009232101E-9</v>
      </c>
      <c r="G161" s="1">
        <v>5.3609456294307796E-12</v>
      </c>
      <c r="H161" t="s">
        <v>132</v>
      </c>
      <c r="I161" s="2"/>
    </row>
    <row r="162" spans="1:9" x14ac:dyDescent="0.25">
      <c r="A162" t="s">
        <v>131</v>
      </c>
      <c r="B162" t="s">
        <v>2</v>
      </c>
      <c r="C162">
        <v>0</v>
      </c>
      <c r="D162">
        <v>0</v>
      </c>
      <c r="E162">
        <v>0</v>
      </c>
      <c r="F162">
        <v>0</v>
      </c>
      <c r="G162">
        <v>0</v>
      </c>
      <c r="H162" t="s">
        <v>131</v>
      </c>
      <c r="I162" s="2"/>
    </row>
    <row r="163" spans="1:9" x14ac:dyDescent="0.25">
      <c r="A163" t="s">
        <v>130</v>
      </c>
      <c r="B163" t="s">
        <v>2</v>
      </c>
      <c r="C163">
        <v>1.70643688242619E-3</v>
      </c>
      <c r="D163">
        <v>1.7948504153798501E-3</v>
      </c>
      <c r="E163">
        <v>3.3189534444043301E-3</v>
      </c>
      <c r="F163">
        <v>1.7948504153798501E-3</v>
      </c>
      <c r="G163">
        <v>1.78440366627377E-3</v>
      </c>
      <c r="H163" t="s">
        <v>130</v>
      </c>
      <c r="I163" s="2"/>
    </row>
    <row r="164" spans="1:9" x14ac:dyDescent="0.25">
      <c r="A164" t="s">
        <v>129</v>
      </c>
      <c r="B164" t="s">
        <v>2</v>
      </c>
      <c r="C164" s="1">
        <v>7.83718972194224E-5</v>
      </c>
      <c r="D164" s="1">
        <v>7.8371897219422305E-5</v>
      </c>
      <c r="E164" s="1">
        <v>1.6026308951116799E-8</v>
      </c>
      <c r="F164" s="1">
        <v>7.8371897219422305E-5</v>
      </c>
      <c r="G164">
        <v>7.0115488589872401E-4</v>
      </c>
      <c r="H164" t="s">
        <v>129</v>
      </c>
      <c r="I164" s="2"/>
    </row>
    <row r="165" spans="1:9" x14ac:dyDescent="0.25">
      <c r="A165" t="s">
        <v>128</v>
      </c>
      <c r="B165" t="s">
        <v>2</v>
      </c>
      <c r="C165" s="1">
        <v>1.6161429402737299E-5</v>
      </c>
      <c r="D165" s="1">
        <v>1.6143271136650202E-5</v>
      </c>
      <c r="E165" s="1">
        <v>8.6283654921741102E-14</v>
      </c>
      <c r="F165" s="1">
        <v>1.6143271136650202E-5</v>
      </c>
      <c r="G165" s="1">
        <v>1.8280024578703501E-5</v>
      </c>
      <c r="H165" t="s">
        <v>210</v>
      </c>
      <c r="I165" s="2"/>
    </row>
    <row r="166" spans="1:9" x14ac:dyDescent="0.25">
      <c r="A166" t="s">
        <v>127</v>
      </c>
      <c r="B166" t="s">
        <v>2</v>
      </c>
      <c r="C166">
        <v>0</v>
      </c>
      <c r="D166" s="1">
        <v>6.16065532659611E-16</v>
      </c>
      <c r="E166" s="1">
        <v>4.75592230752293E-15</v>
      </c>
      <c r="F166" s="1">
        <v>6.16065532659611E-16</v>
      </c>
      <c r="G166" s="1">
        <v>1.00758801600113E-6</v>
      </c>
      <c r="H166" t="s">
        <v>209</v>
      </c>
      <c r="I166" s="2"/>
    </row>
    <row r="167" spans="1:9" x14ac:dyDescent="0.25">
      <c r="A167" t="s">
        <v>126</v>
      </c>
      <c r="B167" t="s">
        <v>2</v>
      </c>
      <c r="C167">
        <v>0</v>
      </c>
      <c r="D167">
        <v>0</v>
      </c>
      <c r="E167" s="1">
        <v>2.5234364713220201E-15</v>
      </c>
      <c r="F167">
        <v>0</v>
      </c>
      <c r="G167" s="1">
        <v>5.3578823092457902E-7</v>
      </c>
      <c r="H167" t="s">
        <v>208</v>
      </c>
      <c r="I167" s="2"/>
    </row>
    <row r="168" spans="1:9" x14ac:dyDescent="0.25">
      <c r="A168" t="s">
        <v>125</v>
      </c>
      <c r="B168" t="s">
        <v>2</v>
      </c>
      <c r="C168">
        <v>0</v>
      </c>
      <c r="D168" s="1">
        <v>2.2406324461450202E-9</v>
      </c>
      <c r="E168" s="1">
        <v>2.5753478131905298E-88</v>
      </c>
      <c r="F168" s="1">
        <v>2.2406324461450202E-9</v>
      </c>
      <c r="G168" s="1">
        <v>1.4028020212541101E-7</v>
      </c>
      <c r="H168" t="s">
        <v>207</v>
      </c>
      <c r="I168" s="2"/>
    </row>
    <row r="169" spans="1:9" x14ac:dyDescent="0.25">
      <c r="A169" t="s">
        <v>124</v>
      </c>
      <c r="B169" t="s">
        <v>2</v>
      </c>
      <c r="C169">
        <v>0</v>
      </c>
      <c r="D169" s="1">
        <v>4.48796334504383E-9</v>
      </c>
      <c r="E169" s="1">
        <v>2.9028902759076698E-88</v>
      </c>
      <c r="F169" s="1">
        <v>4.48796334504383E-9</v>
      </c>
      <c r="G169" s="1">
        <v>1.5812156811072601E-7</v>
      </c>
      <c r="H169" t="s">
        <v>206</v>
      </c>
      <c r="I169" s="2"/>
    </row>
    <row r="170" spans="1:9" x14ac:dyDescent="0.25">
      <c r="A170" t="s">
        <v>123</v>
      </c>
      <c r="B170" t="s">
        <v>2</v>
      </c>
      <c r="C170" s="1">
        <v>3.0682696466981001E-6</v>
      </c>
      <c r="D170" s="1">
        <v>3.05449445573133E-6</v>
      </c>
      <c r="E170" s="1">
        <v>4.3277271689340901E-14</v>
      </c>
      <c r="F170" s="1">
        <v>3.05449445573133E-6</v>
      </c>
      <c r="G170" s="1">
        <v>3.4645501908491499E-6</v>
      </c>
      <c r="H170" t="s">
        <v>205</v>
      </c>
      <c r="I170" s="2"/>
    </row>
    <row r="171" spans="1:9" x14ac:dyDescent="0.25">
      <c r="A171" t="s">
        <v>122</v>
      </c>
      <c r="B171" t="s">
        <v>2</v>
      </c>
      <c r="C171" s="1">
        <v>1.1975385333772301E-5</v>
      </c>
      <c r="D171" s="1">
        <v>1.19567381655272E-5</v>
      </c>
      <c r="E171" s="1">
        <v>1.5147260962481101E-15</v>
      </c>
      <c r="F171" s="1">
        <v>1.19567381655272E-5</v>
      </c>
      <c r="G171" s="1">
        <v>1.2941473937161099E-5</v>
      </c>
      <c r="H171" t="s">
        <v>204</v>
      </c>
      <c r="I171" s="2"/>
    </row>
    <row r="172" spans="1:9" x14ac:dyDescent="0.25">
      <c r="A172" t="s">
        <v>121</v>
      </c>
      <c r="B172" t="s">
        <v>2</v>
      </c>
      <c r="C172">
        <v>0</v>
      </c>
      <c r="D172">
        <v>0</v>
      </c>
      <c r="E172" s="1">
        <v>5.9876273667400196E-88</v>
      </c>
      <c r="F172">
        <v>0</v>
      </c>
      <c r="G172" s="1">
        <v>3.2614840331696499E-7</v>
      </c>
      <c r="H172" t="s">
        <v>203</v>
      </c>
      <c r="I172" s="2"/>
    </row>
    <row r="173" spans="1:9" x14ac:dyDescent="0.25">
      <c r="A173" t="s">
        <v>120</v>
      </c>
      <c r="B173" t="s">
        <v>2</v>
      </c>
      <c r="C173" s="1">
        <v>1.3410618376387799E-8</v>
      </c>
      <c r="D173" s="1">
        <v>4.4209788175058598E-10</v>
      </c>
      <c r="E173" s="1">
        <v>8.0668820987928496E-88</v>
      </c>
      <c r="F173" s="1">
        <v>4.4209788175058598E-10</v>
      </c>
      <c r="G173" s="1">
        <v>4.3940622138280499E-7</v>
      </c>
      <c r="H173" t="s">
        <v>202</v>
      </c>
      <c r="I173" s="2"/>
    </row>
    <row r="174" spans="1:9" x14ac:dyDescent="0.25">
      <c r="A174" t="s">
        <v>119</v>
      </c>
      <c r="B174" t="s">
        <v>2</v>
      </c>
      <c r="C174" s="1">
        <v>3.5878592990232599E-5</v>
      </c>
      <c r="D174" s="1">
        <v>3.5836722232812903E-5</v>
      </c>
      <c r="E174" s="1">
        <v>6.6288542334925394E-86</v>
      </c>
      <c r="F174" s="1">
        <v>3.5836722232812903E-5</v>
      </c>
      <c r="G174" s="1">
        <v>3.6107628141388498E-5</v>
      </c>
      <c r="H174" t="s">
        <v>201</v>
      </c>
      <c r="I174" s="2"/>
    </row>
    <row r="175" spans="1:9" x14ac:dyDescent="0.25">
      <c r="A175" t="s">
        <v>118</v>
      </c>
      <c r="B175" t="s">
        <v>2</v>
      </c>
      <c r="C175" s="1">
        <v>9.9349794516777998E-6</v>
      </c>
      <c r="D175" s="1">
        <v>9.9137100756192496E-6</v>
      </c>
      <c r="E175" s="1">
        <v>1.8763492331904499E-86</v>
      </c>
      <c r="F175" s="1">
        <v>9.9137100756192106E-6</v>
      </c>
      <c r="G175" s="1">
        <v>1.02205476224093E-5</v>
      </c>
      <c r="H175" t="s">
        <v>200</v>
      </c>
      <c r="I175" s="2"/>
    </row>
    <row r="176" spans="1:9" x14ac:dyDescent="0.25">
      <c r="A176" t="s">
        <v>117</v>
      </c>
      <c r="B176" t="s">
        <v>2</v>
      </c>
      <c r="C176" s="1">
        <v>1.7220824707709501E-6</v>
      </c>
      <c r="D176" s="1">
        <v>1.7081054522181801E-6</v>
      </c>
      <c r="E176" s="1">
        <v>3.6864041875740699E-87</v>
      </c>
      <c r="F176" s="1">
        <v>1.7081054522181801E-6</v>
      </c>
      <c r="G176" s="1">
        <v>2.0079987716618101E-6</v>
      </c>
      <c r="H176" t="s">
        <v>199</v>
      </c>
      <c r="I176" s="2"/>
    </row>
    <row r="177" spans="1:9" x14ac:dyDescent="0.25">
      <c r="A177" t="s">
        <v>116</v>
      </c>
      <c r="B177" t="s">
        <v>2</v>
      </c>
      <c r="C177" s="1">
        <v>9.9002982222725892E-6</v>
      </c>
      <c r="D177" s="1">
        <v>9.8802178118502299E-6</v>
      </c>
      <c r="E177" s="1">
        <v>1.8633730714646702E-86</v>
      </c>
      <c r="F177" s="1">
        <v>9.8802178118502299E-6</v>
      </c>
      <c r="G177" s="1">
        <v>1.0149865962232E-5</v>
      </c>
      <c r="H177" t="s">
        <v>198</v>
      </c>
      <c r="I177" s="2"/>
    </row>
    <row r="178" spans="1:9" x14ac:dyDescent="0.25">
      <c r="A178" t="s">
        <v>115</v>
      </c>
      <c r="B178" t="s">
        <v>2</v>
      </c>
      <c r="C178" s="1">
        <v>3.6104792090729403E-8</v>
      </c>
      <c r="D178" s="1">
        <v>1.08849857249198E-8</v>
      </c>
      <c r="E178" s="1">
        <v>4.1918903352682398E-15</v>
      </c>
      <c r="F178" s="1">
        <v>1.08849857249198E-8</v>
      </c>
      <c r="G178" s="1">
        <v>5.52206245588375E-7</v>
      </c>
      <c r="H178" t="s">
        <v>197</v>
      </c>
      <c r="I178" s="2"/>
    </row>
    <row r="179" spans="1:9" x14ac:dyDescent="0.25">
      <c r="A179" t="s">
        <v>114</v>
      </c>
      <c r="B179" t="s">
        <v>2</v>
      </c>
      <c r="C179" s="1">
        <v>2.2386855236520701E-6</v>
      </c>
      <c r="D179" s="1">
        <v>2.2238863142605301E-6</v>
      </c>
      <c r="E179" s="1">
        <v>4.6478848068839402E-87</v>
      </c>
      <c r="F179" s="1">
        <v>2.2238863142605301E-6</v>
      </c>
      <c r="G179" s="1">
        <v>2.5317210235675002E-6</v>
      </c>
      <c r="H179" t="s">
        <v>196</v>
      </c>
      <c r="I179" s="2"/>
    </row>
    <row r="180" spans="1:9" x14ac:dyDescent="0.25">
      <c r="A180" t="s">
        <v>113</v>
      </c>
      <c r="B180" t="s">
        <v>2</v>
      </c>
      <c r="C180" s="1">
        <v>3.2664935636533397E-5</v>
      </c>
      <c r="D180" s="1">
        <v>3.2621464910990299E-5</v>
      </c>
      <c r="E180" s="1">
        <v>3.8508989965420697E-15</v>
      </c>
      <c r="F180" s="1">
        <v>3.2621464910990299E-5</v>
      </c>
      <c r="G180" s="1">
        <v>3.2909281034960101E-5</v>
      </c>
      <c r="H180" t="s">
        <v>195</v>
      </c>
      <c r="I180" s="2"/>
    </row>
    <row r="181" spans="1:9" x14ac:dyDescent="0.25">
      <c r="A181" t="s">
        <v>112</v>
      </c>
      <c r="B181" t="s">
        <v>2</v>
      </c>
      <c r="C181" s="1">
        <v>1.2656594803340101E-6</v>
      </c>
      <c r="D181" s="1">
        <v>1.2559598913368999E-6</v>
      </c>
      <c r="E181" s="1">
        <v>2.6815795231273501E-87</v>
      </c>
      <c r="F181" s="1">
        <v>1.25595989133689E-6</v>
      </c>
      <c r="G181" s="1">
        <v>1.4606668489319E-6</v>
      </c>
      <c r="H181" t="s">
        <v>194</v>
      </c>
      <c r="I181" s="2"/>
    </row>
    <row r="182" spans="1:9" x14ac:dyDescent="0.25">
      <c r="A182" t="s">
        <v>111</v>
      </c>
      <c r="B182" t="s">
        <v>2</v>
      </c>
      <c r="C182" s="1">
        <v>2.09287748921105E-5</v>
      </c>
      <c r="D182" s="1">
        <v>2.0899172591846001E-5</v>
      </c>
      <c r="E182" s="1">
        <v>2.4747137376067601E-15</v>
      </c>
      <c r="F182" s="1">
        <v>2.0899172591846001E-5</v>
      </c>
      <c r="G182" s="1">
        <v>2.11433891688406E-5</v>
      </c>
      <c r="H182" t="s">
        <v>193</v>
      </c>
      <c r="I182" s="2"/>
    </row>
    <row r="183" spans="1:9" x14ac:dyDescent="0.25">
      <c r="A183" t="s">
        <v>110</v>
      </c>
      <c r="B183" t="s">
        <v>2</v>
      </c>
      <c r="C183" s="1">
        <v>1.22916608032171E-8</v>
      </c>
      <c r="D183" s="1">
        <v>1.22916608032171E-8</v>
      </c>
      <c r="E183" s="1">
        <v>1.5174056864817099E-6</v>
      </c>
      <c r="F183" s="1">
        <v>1.22916608032171E-8</v>
      </c>
      <c r="G183" s="1">
        <v>8.5940707140521907E-9</v>
      </c>
      <c r="H183" t="s">
        <v>192</v>
      </c>
      <c r="I183" s="2"/>
    </row>
    <row r="184" spans="1:9" x14ac:dyDescent="0.25">
      <c r="A184" t="s">
        <v>109</v>
      </c>
      <c r="B184" t="s">
        <v>2</v>
      </c>
      <c r="C184">
        <v>2.5873793942786703E-4</v>
      </c>
      <c r="D184" s="1">
        <v>5.3922544668063997E-9</v>
      </c>
      <c r="E184">
        <v>2.21723008891469E-3</v>
      </c>
      <c r="F184" s="1">
        <v>5.3922544668063997E-9</v>
      </c>
      <c r="G184">
        <v>3.2815026665875598E-4</v>
      </c>
      <c r="H184" t="s">
        <v>191</v>
      </c>
      <c r="I184" s="2"/>
    </row>
    <row r="185" spans="1:9" x14ac:dyDescent="0.25">
      <c r="A185" t="s">
        <v>108</v>
      </c>
      <c r="B185" t="s">
        <v>2</v>
      </c>
      <c r="C185">
        <v>0</v>
      </c>
      <c r="D185" s="1">
        <v>1.37653204090524E-9</v>
      </c>
      <c r="E185" s="1">
        <v>2.37335923426192E-13</v>
      </c>
      <c r="F185" s="1">
        <v>1.37653204090524E-9</v>
      </c>
      <c r="G185" s="1">
        <v>8.3779046864173301E-8</v>
      </c>
      <c r="H185" t="s">
        <v>190</v>
      </c>
      <c r="I185" s="2"/>
    </row>
    <row r="186" spans="1:9" x14ac:dyDescent="0.25">
      <c r="A186" t="s">
        <v>107</v>
      </c>
      <c r="B186" t="s">
        <v>2</v>
      </c>
      <c r="C186" s="1">
        <v>7.9376665132491897E-5</v>
      </c>
      <c r="D186" s="1">
        <v>7.9376665132491802E-5</v>
      </c>
      <c r="E186" s="1">
        <v>8.3197015179856902E-10</v>
      </c>
      <c r="F186" s="1">
        <v>7.9376665132491802E-5</v>
      </c>
      <c r="G186" s="1">
        <v>7.9387319011999303E-5</v>
      </c>
      <c r="H186" t="s">
        <v>189</v>
      </c>
      <c r="I186" s="2"/>
    </row>
    <row r="187" spans="1:9" x14ac:dyDescent="0.25">
      <c r="A187" t="s">
        <v>106</v>
      </c>
      <c r="B187" t="s">
        <v>2</v>
      </c>
      <c r="C187" s="1">
        <v>8.2670564225781598E-6</v>
      </c>
      <c r="D187" s="1">
        <v>1.8655190919324001E-8</v>
      </c>
      <c r="E187" s="1">
        <v>2.7322894559291799E-6</v>
      </c>
      <c r="F187" s="1">
        <v>1.8655190919324001E-8</v>
      </c>
      <c r="G187" s="1">
        <v>7.6324599262914698E-6</v>
      </c>
      <c r="H187" t="s">
        <v>106</v>
      </c>
      <c r="I187" s="2"/>
    </row>
    <row r="188" spans="1:9" x14ac:dyDescent="0.25">
      <c r="A188" t="s">
        <v>105</v>
      </c>
      <c r="B188" t="s">
        <v>2</v>
      </c>
      <c r="C188" s="1">
        <v>1.8487729600479099E-8</v>
      </c>
      <c r="D188" s="1">
        <v>1.8487729600479099E-8</v>
      </c>
      <c r="E188" s="1">
        <v>3.7376237614295401E-8</v>
      </c>
      <c r="F188" s="1">
        <v>1.8487729600479099E-8</v>
      </c>
      <c r="G188" s="1">
        <v>6.0169478996598596E-7</v>
      </c>
      <c r="H188" t="s">
        <v>105</v>
      </c>
      <c r="I188" s="2"/>
    </row>
    <row r="189" spans="1:9" x14ac:dyDescent="0.25">
      <c r="A189" t="s">
        <v>104</v>
      </c>
      <c r="B189" t="s">
        <v>2</v>
      </c>
      <c r="C189" s="1">
        <v>1.0181648185771099E-6</v>
      </c>
      <c r="D189" s="1">
        <v>1.0181648185771099E-6</v>
      </c>
      <c r="E189" s="1">
        <v>1.95761256308925E-5</v>
      </c>
      <c r="F189" s="1">
        <v>1.0181648185771099E-6</v>
      </c>
      <c r="G189" s="1">
        <v>2.19665680988377E-6</v>
      </c>
      <c r="H189" t="s">
        <v>188</v>
      </c>
      <c r="I189" s="2"/>
    </row>
    <row r="190" spans="1:9" x14ac:dyDescent="0.25">
      <c r="A190" t="s">
        <v>103</v>
      </c>
      <c r="B190" t="s">
        <v>2</v>
      </c>
      <c r="C190">
        <v>0</v>
      </c>
      <c r="D190">
        <v>0</v>
      </c>
      <c r="E190" s="1">
        <v>6.7512101066908402E-18</v>
      </c>
      <c r="F190">
        <v>0</v>
      </c>
      <c r="G190" s="1">
        <v>1.2087283641147201E-15</v>
      </c>
      <c r="H190" t="s">
        <v>187</v>
      </c>
      <c r="I190" s="2"/>
    </row>
    <row r="191" spans="1:9" x14ac:dyDescent="0.25">
      <c r="A191" t="s">
        <v>102</v>
      </c>
      <c r="B191" t="s">
        <v>2</v>
      </c>
      <c r="C191">
        <v>0</v>
      </c>
      <c r="D191">
        <v>0</v>
      </c>
      <c r="E191">
        <v>0</v>
      </c>
      <c r="F191">
        <v>0</v>
      </c>
      <c r="G191">
        <v>0</v>
      </c>
      <c r="H191" t="s">
        <v>102</v>
      </c>
      <c r="I191" s="2"/>
    </row>
    <row r="192" spans="1:9" x14ac:dyDescent="0.25">
      <c r="A192" t="s">
        <v>101</v>
      </c>
      <c r="B192" t="s">
        <v>2</v>
      </c>
      <c r="C192">
        <v>0</v>
      </c>
      <c r="D192">
        <v>0</v>
      </c>
      <c r="E192">
        <v>0</v>
      </c>
      <c r="F192">
        <v>0</v>
      </c>
      <c r="G192">
        <v>0</v>
      </c>
      <c r="H192" t="s">
        <v>101</v>
      </c>
      <c r="I192" s="2"/>
    </row>
    <row r="193" spans="1:9" x14ac:dyDescent="0.25">
      <c r="A193" t="s">
        <v>100</v>
      </c>
      <c r="B193" t="s">
        <v>2</v>
      </c>
      <c r="C193">
        <v>0</v>
      </c>
      <c r="D193">
        <v>0</v>
      </c>
      <c r="E193">
        <v>0</v>
      </c>
      <c r="F193">
        <v>0</v>
      </c>
      <c r="G193">
        <v>0</v>
      </c>
      <c r="H193" t="s">
        <v>100</v>
      </c>
      <c r="I193" s="2"/>
    </row>
    <row r="194" spans="1:9" x14ac:dyDescent="0.25">
      <c r="A194" t="s">
        <v>99</v>
      </c>
      <c r="B194" t="s">
        <v>2</v>
      </c>
      <c r="C194">
        <v>0</v>
      </c>
      <c r="D194">
        <v>0</v>
      </c>
      <c r="E194">
        <v>0</v>
      </c>
      <c r="F194">
        <v>0</v>
      </c>
      <c r="G194">
        <v>0</v>
      </c>
      <c r="H194" t="s">
        <v>99</v>
      </c>
      <c r="I194" s="2"/>
    </row>
    <row r="195" spans="1:9" x14ac:dyDescent="0.25">
      <c r="A195" t="s">
        <v>98</v>
      </c>
      <c r="B195" t="s">
        <v>2</v>
      </c>
      <c r="C195">
        <v>6.6716589427816102E-4</v>
      </c>
      <c r="D195">
        <v>2.2238863142605299E-3</v>
      </c>
      <c r="E195" s="1">
        <v>1.2248230333521101E-84</v>
      </c>
      <c r="F195">
        <v>2.2238863142605299E-3</v>
      </c>
      <c r="G195">
        <v>6.6716589427830598E-4</v>
      </c>
      <c r="H195" t="s">
        <v>176</v>
      </c>
      <c r="I195" s="2"/>
    </row>
    <row r="196" spans="1:9" x14ac:dyDescent="0.25">
      <c r="A196" t="s">
        <v>97</v>
      </c>
      <c r="B196" t="s">
        <v>2</v>
      </c>
      <c r="C196">
        <v>5.3909147762556497E-4</v>
      </c>
      <c r="D196">
        <v>1.3477286940639099E-3</v>
      </c>
      <c r="E196" s="1">
        <v>1.8051926609538599E-12</v>
      </c>
      <c r="F196">
        <v>1.3477286940639099E-3</v>
      </c>
      <c r="G196">
        <v>5.3909147582048805E-4</v>
      </c>
      <c r="H196" t="s">
        <v>186</v>
      </c>
      <c r="I196" s="2"/>
    </row>
    <row r="197" spans="1:9" x14ac:dyDescent="0.25">
      <c r="A197" t="s">
        <v>96</v>
      </c>
      <c r="B197" t="s">
        <v>2</v>
      </c>
      <c r="C197">
        <v>0</v>
      </c>
      <c r="D197">
        <v>0</v>
      </c>
      <c r="E197">
        <v>0</v>
      </c>
      <c r="F197">
        <v>0</v>
      </c>
      <c r="G197">
        <v>0</v>
      </c>
      <c r="H197" t="s">
        <v>185</v>
      </c>
      <c r="I197" s="2"/>
    </row>
    <row r="198" spans="1:9" x14ac:dyDescent="0.25">
      <c r="A198" t="s">
        <v>95</v>
      </c>
      <c r="B198" t="s">
        <v>2</v>
      </c>
      <c r="C198" s="1">
        <v>1.3463890035131501E-6</v>
      </c>
      <c r="D198" s="1">
        <v>1.3463890035131501E-5</v>
      </c>
      <c r="E198" s="1">
        <v>1.4204577585340301E-24</v>
      </c>
      <c r="F198" s="1">
        <v>1.3463890035131501E-5</v>
      </c>
      <c r="G198" s="1">
        <v>1.34638900351344E-6</v>
      </c>
      <c r="H198" t="s">
        <v>184</v>
      </c>
      <c r="I198" s="2"/>
    </row>
    <row r="199" spans="1:9" x14ac:dyDescent="0.25">
      <c r="A199" t="s">
        <v>94</v>
      </c>
      <c r="B199" t="s">
        <v>2</v>
      </c>
      <c r="C199" s="1">
        <v>1.34638900351316E-6</v>
      </c>
      <c r="D199" s="1">
        <v>1.3463890035131501E-5</v>
      </c>
      <c r="E199" s="1">
        <v>1.3174843723723399E-23</v>
      </c>
      <c r="F199" s="1">
        <v>1.3463890035131501E-5</v>
      </c>
      <c r="G199" s="1">
        <v>1.34638900351344E-6</v>
      </c>
      <c r="H199" t="s">
        <v>183</v>
      </c>
      <c r="I199" s="2"/>
    </row>
    <row r="200" spans="1:9" x14ac:dyDescent="0.25">
      <c r="A200" t="s">
        <v>93</v>
      </c>
      <c r="B200" t="s">
        <v>2</v>
      </c>
      <c r="C200" s="1">
        <v>1.6951072849368401E-5</v>
      </c>
      <c r="D200" s="1">
        <v>1.6813116412029901E-7</v>
      </c>
      <c r="E200" s="1">
        <v>1.06949162784937E-16</v>
      </c>
      <c r="F200" s="1">
        <v>1.6813116412029901E-7</v>
      </c>
      <c r="G200" s="1">
        <v>8.4755385429646505E-9</v>
      </c>
      <c r="H200" t="s">
        <v>182</v>
      </c>
      <c r="I200" s="2"/>
    </row>
    <row r="201" spans="1:9" x14ac:dyDescent="0.25">
      <c r="A201" t="s">
        <v>92</v>
      </c>
      <c r="B201" t="s">
        <v>2</v>
      </c>
      <c r="C201">
        <v>0</v>
      </c>
      <c r="D201">
        <v>0</v>
      </c>
      <c r="E201">
        <v>0</v>
      </c>
      <c r="F201">
        <v>0</v>
      </c>
      <c r="G201">
        <v>0</v>
      </c>
      <c r="H201" t="s">
        <v>181</v>
      </c>
      <c r="I201" s="2"/>
    </row>
    <row r="202" spans="1:9" x14ac:dyDescent="0.25">
      <c r="A202" t="s">
        <v>91</v>
      </c>
      <c r="B202" t="s">
        <v>2</v>
      </c>
      <c r="C202" s="1">
        <v>1.34638900351316E-6</v>
      </c>
      <c r="D202" s="1">
        <v>1.3463890035131501E-5</v>
      </c>
      <c r="E202" s="1">
        <v>1.2791676431907999E-20</v>
      </c>
      <c r="F202" s="1">
        <v>1.3463890035131501E-5</v>
      </c>
      <c r="G202" s="1">
        <v>1.34638900351343E-6</v>
      </c>
      <c r="H202" t="s">
        <v>180</v>
      </c>
      <c r="I202" s="2"/>
    </row>
    <row r="203" spans="1:9" x14ac:dyDescent="0.25">
      <c r="A203" t="s">
        <v>90</v>
      </c>
      <c r="B203" t="s">
        <v>2</v>
      </c>
      <c r="C203">
        <v>4.9768533965642505E-4</v>
      </c>
      <c r="D203">
        <v>3.8281657487948702E-4</v>
      </c>
      <c r="E203" s="1">
        <v>6.9480042795927297E-14</v>
      </c>
      <c r="F203">
        <v>3.8281657487948702E-4</v>
      </c>
      <c r="G203">
        <v>4.97685339587054E-4</v>
      </c>
      <c r="H203" t="s">
        <v>179</v>
      </c>
      <c r="I203" s="2"/>
    </row>
    <row r="204" spans="1:9" x14ac:dyDescent="0.25">
      <c r="A204" t="s">
        <v>89</v>
      </c>
      <c r="B204" t="s">
        <v>2</v>
      </c>
      <c r="C204" s="1">
        <v>2.4500634094251701E-5</v>
      </c>
      <c r="D204">
        <v>0</v>
      </c>
      <c r="E204" s="1">
        <v>3.9117436687314802E-7</v>
      </c>
      <c r="F204">
        <v>0</v>
      </c>
      <c r="G204" s="1">
        <v>2.4109459727377802E-5</v>
      </c>
      <c r="H204" t="s">
        <v>178</v>
      </c>
      <c r="I204" s="2"/>
    </row>
    <row r="205" spans="1:9" x14ac:dyDescent="0.25">
      <c r="A205" t="s">
        <v>88</v>
      </c>
      <c r="B205" t="s">
        <v>2</v>
      </c>
      <c r="C205" s="1">
        <v>5.7913583812049496E-6</v>
      </c>
      <c r="D205" s="1">
        <v>5.7271771044962403E-8</v>
      </c>
      <c r="E205" s="1">
        <v>2.49867942771155E-18</v>
      </c>
      <c r="F205" s="1">
        <v>5.7271771044962403E-8</v>
      </c>
      <c r="G205" s="1">
        <v>2.8956821936843999E-9</v>
      </c>
      <c r="H205" t="s">
        <v>177</v>
      </c>
      <c r="I205" s="2"/>
    </row>
    <row r="206" spans="1:9" x14ac:dyDescent="0.25">
      <c r="A206" t="s">
        <v>87</v>
      </c>
      <c r="B206" t="s">
        <v>2</v>
      </c>
      <c r="C206">
        <v>0</v>
      </c>
      <c r="D206">
        <v>0</v>
      </c>
      <c r="E206">
        <v>0</v>
      </c>
      <c r="F206">
        <v>0</v>
      </c>
      <c r="G206">
        <v>0</v>
      </c>
      <c r="H206" t="s">
        <v>176</v>
      </c>
      <c r="I206" s="2"/>
    </row>
    <row r="207" spans="1:9" x14ac:dyDescent="0.25">
      <c r="A207" t="s">
        <v>86</v>
      </c>
      <c r="B207" t="s">
        <v>2</v>
      </c>
      <c r="C207">
        <v>8.40750484718919E-4</v>
      </c>
      <c r="D207">
        <v>1.67628780163764E-3</v>
      </c>
      <c r="E207" s="1">
        <v>2.32385689316514E-5</v>
      </c>
      <c r="F207">
        <v>1.67628780163764E-3</v>
      </c>
      <c r="G207">
        <v>8.1751191578709095E-4</v>
      </c>
      <c r="H207" t="s">
        <v>175</v>
      </c>
      <c r="I207" s="2"/>
    </row>
    <row r="208" spans="1:9" x14ac:dyDescent="0.25">
      <c r="A208" t="s">
        <v>85</v>
      </c>
      <c r="B208" t="s">
        <v>2</v>
      </c>
      <c r="C208" s="1">
        <v>9.8802178118502502E-6</v>
      </c>
      <c r="D208" s="1">
        <v>9.8802178118502295E-5</v>
      </c>
      <c r="E208" s="1">
        <v>1.33005041365441E-6</v>
      </c>
      <c r="F208" s="1">
        <v>9.8802178118502295E-5</v>
      </c>
      <c r="G208" s="1">
        <v>8.5501673981774403E-6</v>
      </c>
      <c r="H208" t="s">
        <v>174</v>
      </c>
      <c r="I208" s="2"/>
    </row>
    <row r="209" spans="1:9" x14ac:dyDescent="0.25">
      <c r="A209" t="s">
        <v>84</v>
      </c>
      <c r="B209" t="s">
        <v>2</v>
      </c>
      <c r="C209" s="1">
        <v>2.6961272334032102E-7</v>
      </c>
      <c r="D209" s="1">
        <v>5.3922544668064004E-7</v>
      </c>
      <c r="E209" s="1">
        <v>2.6955160738721199E-7</v>
      </c>
      <c r="F209" s="1">
        <v>5.3922544668064004E-7</v>
      </c>
      <c r="G209" s="1">
        <v>6.1115949003097596E-11</v>
      </c>
      <c r="H209" t="s">
        <v>173</v>
      </c>
      <c r="I209" s="2"/>
    </row>
    <row r="210" spans="1:9" x14ac:dyDescent="0.25">
      <c r="A210" t="s">
        <v>83</v>
      </c>
      <c r="B210" t="s">
        <v>2</v>
      </c>
      <c r="C210">
        <v>0</v>
      </c>
      <c r="D210">
        <v>0</v>
      </c>
      <c r="E210">
        <v>0</v>
      </c>
      <c r="F210">
        <v>0</v>
      </c>
      <c r="G210">
        <v>0</v>
      </c>
      <c r="H210" t="s">
        <v>172</v>
      </c>
      <c r="I210" s="2"/>
    </row>
    <row r="211" spans="1:9" x14ac:dyDescent="0.25">
      <c r="A211" t="s">
        <v>82</v>
      </c>
      <c r="B211" t="s">
        <v>2</v>
      </c>
      <c r="C211">
        <v>3.7065888313134502E-3</v>
      </c>
      <c r="D211">
        <v>3.7065888313134502E-3</v>
      </c>
      <c r="E211" s="1">
        <v>1.4440495361562E-16</v>
      </c>
      <c r="F211">
        <v>3.7065888313134502E-3</v>
      </c>
      <c r="G211">
        <v>3.7065888313141098E-3</v>
      </c>
      <c r="H211" t="s">
        <v>82</v>
      </c>
      <c r="I211" s="2"/>
    </row>
    <row r="212" spans="1:9" x14ac:dyDescent="0.25">
      <c r="A212" t="s">
        <v>1</v>
      </c>
      <c r="I212" s="2"/>
    </row>
    <row r="213" spans="1:9" x14ac:dyDescent="0.25">
      <c r="A213" t="s">
        <v>142</v>
      </c>
      <c r="C213">
        <v>0.94121100582776196</v>
      </c>
      <c r="D213">
        <v>0.94210137265071903</v>
      </c>
      <c r="E213">
        <v>0.112554496605554</v>
      </c>
      <c r="F213">
        <v>0.94210137265071903</v>
      </c>
      <c r="G213">
        <v>0.95918705836916196</v>
      </c>
      <c r="H213" t="s">
        <v>217</v>
      </c>
      <c r="I213" s="2"/>
    </row>
    <row r="214" spans="1:9" x14ac:dyDescent="0.25">
      <c r="A214" t="s">
        <v>141</v>
      </c>
      <c r="C214">
        <v>1.47669017715404E-4</v>
      </c>
      <c r="D214">
        <v>1.34138306010005E-4</v>
      </c>
      <c r="E214" s="1">
        <v>2.9722513288633899E-10</v>
      </c>
      <c r="F214">
        <v>1.34138306010005E-4</v>
      </c>
      <c r="G214">
        <v>1.18290983052008E-4</v>
      </c>
      <c r="H214" t="s">
        <v>216</v>
      </c>
      <c r="I214" s="2"/>
    </row>
    <row r="215" spans="1:9" x14ac:dyDescent="0.25">
      <c r="A215" t="s">
        <v>140</v>
      </c>
      <c r="C215" s="1">
        <v>3.5008667919172499E-5</v>
      </c>
      <c r="D215" s="1">
        <v>3.4735815063784998E-7</v>
      </c>
      <c r="E215" s="1">
        <v>3.4035694258583399E-13</v>
      </c>
      <c r="F215" s="1">
        <v>3.4735815063784998E-7</v>
      </c>
      <c r="G215" s="1">
        <v>9.6020651036208998E-6</v>
      </c>
      <c r="H215" t="s">
        <v>215</v>
      </c>
      <c r="I215" s="2"/>
    </row>
    <row r="216" spans="1:9" x14ac:dyDescent="0.25">
      <c r="A216" t="s">
        <v>139</v>
      </c>
      <c r="C216">
        <v>1.9043962895778602E-2</v>
      </c>
      <c r="D216">
        <v>1.6828351211449301E-2</v>
      </c>
      <c r="E216" s="1">
        <v>5.0130316821762902E-14</v>
      </c>
      <c r="F216">
        <v>1.6828351211449301E-2</v>
      </c>
      <c r="G216">
        <v>3.7375762676308002E-3</v>
      </c>
      <c r="H216" t="s">
        <v>185</v>
      </c>
      <c r="I216" s="2"/>
    </row>
    <row r="217" spans="1:9" x14ac:dyDescent="0.25">
      <c r="A217" t="s">
        <v>138</v>
      </c>
      <c r="C217">
        <v>1.35907189089311E-2</v>
      </c>
      <c r="D217">
        <v>6.0772660879607702E-3</v>
      </c>
      <c r="E217">
        <v>5.5712127056523097E-4</v>
      </c>
      <c r="F217">
        <v>6.0772660879607702E-3</v>
      </c>
      <c r="G217">
        <v>3.5156469840365401E-3</v>
      </c>
      <c r="H217" t="s">
        <v>214</v>
      </c>
      <c r="I217" s="2"/>
    </row>
    <row r="218" spans="1:9" x14ac:dyDescent="0.25">
      <c r="A218" t="s">
        <v>137</v>
      </c>
      <c r="C218">
        <v>1.30134183179301E-4</v>
      </c>
      <c r="D218">
        <v>1.3013417747239299E-4</v>
      </c>
      <c r="E218">
        <v>4.41046190331022E-4</v>
      </c>
      <c r="F218">
        <v>1.3013417747239299E-4</v>
      </c>
      <c r="G218">
        <v>3.3533174254248401E-3</v>
      </c>
      <c r="H218" t="s">
        <v>213</v>
      </c>
      <c r="I218" s="2"/>
    </row>
    <row r="219" spans="1:9" x14ac:dyDescent="0.25">
      <c r="A219" t="s">
        <v>136</v>
      </c>
      <c r="C219">
        <v>1.28132118822696E-4</v>
      </c>
      <c r="D219">
        <v>1.2813211320358701E-4</v>
      </c>
      <c r="E219" s="1">
        <v>4.9074983110352998E-5</v>
      </c>
      <c r="F219">
        <v>1.2813211320358701E-4</v>
      </c>
      <c r="G219">
        <v>1.66950308474935E-3</v>
      </c>
      <c r="H219" t="s">
        <v>212</v>
      </c>
      <c r="I219" s="2"/>
    </row>
    <row r="220" spans="1:9" x14ac:dyDescent="0.25">
      <c r="A220" t="s">
        <v>135</v>
      </c>
      <c r="C220">
        <v>0</v>
      </c>
      <c r="D220" s="1">
        <v>2.19226037434262E-8</v>
      </c>
      <c r="E220" s="1">
        <v>5.1331764547718705E-10</v>
      </c>
      <c r="F220" s="1">
        <v>2.19226037434262E-8</v>
      </c>
      <c r="G220" s="1">
        <v>2.8110701846523399E-9</v>
      </c>
      <c r="H220" t="s">
        <v>211</v>
      </c>
      <c r="I220" s="2"/>
    </row>
    <row r="221" spans="1:9" x14ac:dyDescent="0.25">
      <c r="A221" t="s">
        <v>134</v>
      </c>
      <c r="C221">
        <v>0</v>
      </c>
      <c r="D221">
        <v>0</v>
      </c>
      <c r="E221">
        <v>0</v>
      </c>
      <c r="F221">
        <v>0</v>
      </c>
      <c r="G221">
        <v>0</v>
      </c>
      <c r="H221" t="s">
        <v>134</v>
      </c>
      <c r="I221" s="2"/>
    </row>
    <row r="222" spans="1:9" x14ac:dyDescent="0.25">
      <c r="A222" t="s">
        <v>133</v>
      </c>
      <c r="C222">
        <v>0</v>
      </c>
      <c r="D222">
        <v>0</v>
      </c>
      <c r="E222">
        <v>0</v>
      </c>
      <c r="F222">
        <v>0</v>
      </c>
      <c r="G222">
        <v>0</v>
      </c>
      <c r="H222" t="s">
        <v>133</v>
      </c>
      <c r="I222" s="2"/>
    </row>
    <row r="223" spans="1:9" x14ac:dyDescent="0.25">
      <c r="A223" t="s">
        <v>132</v>
      </c>
      <c r="C223" s="1">
        <v>3.6963462451464897E-5</v>
      </c>
      <c r="D223" s="1">
        <v>6.1863785906107E-9</v>
      </c>
      <c r="E223" s="1">
        <v>3.71914359461362E-11</v>
      </c>
      <c r="F223" s="1">
        <v>6.1863785906107E-9</v>
      </c>
      <c r="G223" s="1">
        <v>1.6336287051153199E-11</v>
      </c>
      <c r="H223" t="s">
        <v>132</v>
      </c>
      <c r="I223" s="2"/>
    </row>
    <row r="224" spans="1:9" x14ac:dyDescent="0.25">
      <c r="A224" t="s">
        <v>131</v>
      </c>
      <c r="C224">
        <v>0</v>
      </c>
      <c r="D224">
        <v>0</v>
      </c>
      <c r="E224">
        <v>0</v>
      </c>
      <c r="F224">
        <v>0</v>
      </c>
      <c r="G224">
        <v>0</v>
      </c>
      <c r="H224" t="s">
        <v>131</v>
      </c>
      <c r="I224" s="2"/>
    </row>
    <row r="225" spans="1:9" x14ac:dyDescent="0.25">
      <c r="A225" t="s">
        <v>130</v>
      </c>
      <c r="C225">
        <v>5.10027701123147E-3</v>
      </c>
      <c r="D225">
        <v>5.3645312082658096E-3</v>
      </c>
      <c r="E225">
        <v>0.52672520351054997</v>
      </c>
      <c r="F225">
        <v>5.3645312082658096E-3</v>
      </c>
      <c r="G225">
        <v>5.4375724960436904E-3</v>
      </c>
      <c r="H225" t="s">
        <v>130</v>
      </c>
      <c r="I225" s="2"/>
    </row>
    <row r="226" spans="1:9" x14ac:dyDescent="0.25">
      <c r="A226" t="s">
        <v>129</v>
      </c>
      <c r="C226">
        <v>2.3424152972274101E-4</v>
      </c>
      <c r="D226">
        <v>2.3424151945030801E-4</v>
      </c>
      <c r="E226" s="1">
        <v>2.5434104410328599E-6</v>
      </c>
      <c r="F226">
        <v>2.3424151945030801E-4</v>
      </c>
      <c r="G226">
        <v>2.1366132535420501E-3</v>
      </c>
      <c r="H226" t="s">
        <v>129</v>
      </c>
      <c r="I226" s="2"/>
    </row>
    <row r="227" spans="1:9" x14ac:dyDescent="0.25">
      <c r="A227" t="s">
        <v>128</v>
      </c>
      <c r="C227" s="1">
        <v>4.8304023254717098E-5</v>
      </c>
      <c r="D227" s="1">
        <v>4.8249748878225801E-5</v>
      </c>
      <c r="E227" s="1">
        <v>1.3693405604984299E-11</v>
      </c>
      <c r="F227" s="1">
        <v>4.8249748878225801E-5</v>
      </c>
      <c r="G227" s="1">
        <v>5.5704300968921403E-5</v>
      </c>
      <c r="H227" t="s">
        <v>210</v>
      </c>
      <c r="I227" s="2"/>
    </row>
    <row r="228" spans="1:9" x14ac:dyDescent="0.25">
      <c r="A228" t="s">
        <v>127</v>
      </c>
      <c r="C228">
        <v>0</v>
      </c>
      <c r="D228" s="1">
        <v>1.84132490817624E-15</v>
      </c>
      <c r="E228" s="1">
        <v>7.5477531916992004E-13</v>
      </c>
      <c r="F228" s="1">
        <v>1.84132490817624E-15</v>
      </c>
      <c r="G228" s="1">
        <v>3.07039992503043E-6</v>
      </c>
      <c r="H228" t="s">
        <v>209</v>
      </c>
      <c r="I228" s="2"/>
    </row>
    <row r="229" spans="1:9" x14ac:dyDescent="0.25">
      <c r="A229" t="s">
        <v>126</v>
      </c>
      <c r="C229">
        <v>0</v>
      </c>
      <c r="D229">
        <v>0</v>
      </c>
      <c r="E229" s="1">
        <v>4.0047491209735501E-13</v>
      </c>
      <c r="F229">
        <v>0</v>
      </c>
      <c r="G229" s="1">
        <v>1.6326952265589099E-6</v>
      </c>
      <c r="H229" t="s">
        <v>208</v>
      </c>
      <c r="I229" s="2"/>
    </row>
    <row r="230" spans="1:9" x14ac:dyDescent="0.25">
      <c r="A230" t="s">
        <v>125</v>
      </c>
      <c r="C230">
        <v>0</v>
      </c>
      <c r="D230" s="1">
        <v>6.6969049791562404E-9</v>
      </c>
      <c r="E230" s="1">
        <v>4.0871335610334E-86</v>
      </c>
      <c r="F230" s="1">
        <v>6.6969049791562404E-9</v>
      </c>
      <c r="G230" s="1">
        <v>4.2747265275992502E-7</v>
      </c>
      <c r="H230" t="s">
        <v>207</v>
      </c>
      <c r="I230" s="2"/>
    </row>
    <row r="231" spans="1:9" x14ac:dyDescent="0.25">
      <c r="A231" t="s">
        <v>124</v>
      </c>
      <c r="C231">
        <v>0</v>
      </c>
      <c r="D231" s="1">
        <v>1.3413830601000501E-8</v>
      </c>
      <c r="E231" s="1">
        <v>4.6069506456143999E-86</v>
      </c>
      <c r="F231" s="1">
        <v>1.3413830601000501E-8</v>
      </c>
      <c r="G231" s="1">
        <v>4.81840239426113E-7</v>
      </c>
      <c r="H231" t="s">
        <v>206</v>
      </c>
      <c r="I231" s="2"/>
    </row>
    <row r="232" spans="1:9" x14ac:dyDescent="0.25">
      <c r="A232" t="s">
        <v>123</v>
      </c>
      <c r="C232" s="1">
        <v>9.17058539022204E-6</v>
      </c>
      <c r="D232" s="1">
        <v>9.1294130657555895E-6</v>
      </c>
      <c r="E232" s="1">
        <v>6.8681980991271902E-12</v>
      </c>
      <c r="F232" s="1">
        <v>9.1294130657555895E-6</v>
      </c>
      <c r="G232" s="1">
        <v>1.0557444587784199E-5</v>
      </c>
      <c r="H232" t="s">
        <v>205</v>
      </c>
      <c r="I232" s="2"/>
    </row>
    <row r="233" spans="1:9" x14ac:dyDescent="0.25">
      <c r="A233" t="s">
        <v>122</v>
      </c>
      <c r="C233" s="1">
        <v>3.5792582279186102E-5</v>
      </c>
      <c r="D233" s="1">
        <v>3.5736847198187998E-5</v>
      </c>
      <c r="E233" s="1">
        <v>2.4039035939301001E-13</v>
      </c>
      <c r="F233" s="1">
        <v>3.5736847198187998E-5</v>
      </c>
      <c r="G233" s="1">
        <v>3.9436257652351799E-5</v>
      </c>
      <c r="H233" t="s">
        <v>204</v>
      </c>
      <c r="I233" s="2"/>
    </row>
    <row r="234" spans="1:9" x14ac:dyDescent="0.25">
      <c r="A234" t="s">
        <v>121</v>
      </c>
      <c r="C234">
        <v>0</v>
      </c>
      <c r="D234">
        <v>0</v>
      </c>
      <c r="E234" s="1">
        <v>9.5024961817670604E-86</v>
      </c>
      <c r="F234">
        <v>0</v>
      </c>
      <c r="G234" s="1">
        <v>9.938645728117491E-7</v>
      </c>
      <c r="H234" t="s">
        <v>203</v>
      </c>
      <c r="I234" s="2"/>
    </row>
    <row r="235" spans="1:9" x14ac:dyDescent="0.25">
      <c r="A235" t="s">
        <v>120</v>
      </c>
      <c r="C235" s="1">
        <v>4.00822727848228E-8</v>
      </c>
      <c r="D235" s="1">
        <v>1.32136241741199E-9</v>
      </c>
      <c r="E235" s="1">
        <v>1.28023191236564E-85</v>
      </c>
      <c r="F235" s="1">
        <v>1.32136241741199E-9</v>
      </c>
      <c r="G235" s="1">
        <v>1.3389925324301901E-6</v>
      </c>
      <c r="H235" t="s">
        <v>202</v>
      </c>
      <c r="I235" s="2"/>
    </row>
    <row r="236" spans="1:9" x14ac:dyDescent="0.25">
      <c r="A236" t="s">
        <v>119</v>
      </c>
      <c r="C236">
        <v>1.0723558832322E-4</v>
      </c>
      <c r="D236">
        <v>1.07110438381124E-4</v>
      </c>
      <c r="E236" s="1">
        <v>1.05201373073336E-83</v>
      </c>
      <c r="F236">
        <v>1.07110438381124E-4</v>
      </c>
      <c r="G236">
        <v>1.10029949719272E-4</v>
      </c>
      <c r="H236" t="s">
        <v>201</v>
      </c>
      <c r="I236" s="2"/>
    </row>
    <row r="237" spans="1:9" x14ac:dyDescent="0.25">
      <c r="A237" t="s">
        <v>118</v>
      </c>
      <c r="C237" s="1">
        <v>2.9694123366816698E-5</v>
      </c>
      <c r="D237" s="1">
        <v>2.96305511783296E-5</v>
      </c>
      <c r="E237" s="1">
        <v>2.9778074572735902E-84</v>
      </c>
      <c r="F237" s="1">
        <v>2.9630551178329499E-5</v>
      </c>
      <c r="G237" s="1">
        <v>3.1144841100988498E-5</v>
      </c>
      <c r="H237" t="s">
        <v>200</v>
      </c>
      <c r="I237" s="2"/>
    </row>
    <row r="238" spans="1:9" x14ac:dyDescent="0.25">
      <c r="A238" t="s">
        <v>117</v>
      </c>
      <c r="C238" s="1">
        <v>5.14703926501522E-6</v>
      </c>
      <c r="D238" s="1">
        <v>5.1052638854554304E-6</v>
      </c>
      <c r="E238" s="1">
        <v>5.8504044375668903E-85</v>
      </c>
      <c r="F238" s="1">
        <v>5.1052638854554304E-6</v>
      </c>
      <c r="G238" s="1">
        <v>6.1189287487165497E-6</v>
      </c>
      <c r="H238" t="s">
        <v>199</v>
      </c>
      <c r="I238" s="2"/>
    </row>
    <row r="239" spans="1:9" x14ac:dyDescent="0.25">
      <c r="A239" t="s">
        <v>116</v>
      </c>
      <c r="C239" s="1">
        <v>2.95904665138277E-5</v>
      </c>
      <c r="D239" s="1">
        <v>2.9530447964889199E-5</v>
      </c>
      <c r="E239" s="1">
        <v>2.9572140035229099E-84</v>
      </c>
      <c r="F239" s="1">
        <v>2.9530447964889199E-5</v>
      </c>
      <c r="G239" s="1">
        <v>3.0929454493899901E-5</v>
      </c>
      <c r="H239" t="s">
        <v>198</v>
      </c>
      <c r="I239" s="2"/>
    </row>
    <row r="240" spans="1:9" x14ac:dyDescent="0.25">
      <c r="A240" t="s">
        <v>115</v>
      </c>
      <c r="C240" s="1">
        <v>1.0791166259476599E-7</v>
      </c>
      <c r="D240" s="1">
        <v>3.2533544368098303E-8</v>
      </c>
      <c r="E240" s="1">
        <v>6.6526220597057895E-13</v>
      </c>
      <c r="F240" s="1">
        <v>3.2533544368098303E-8</v>
      </c>
      <c r="G240" s="1">
        <v>1.68272546728461E-6</v>
      </c>
      <c r="H240" t="s">
        <v>197</v>
      </c>
      <c r="I240" s="2"/>
    </row>
    <row r="241" spans="1:9" x14ac:dyDescent="0.25">
      <c r="A241" t="s">
        <v>114</v>
      </c>
      <c r="C241" s="1">
        <v>6.6910862213816503E-6</v>
      </c>
      <c r="D241" s="1">
        <v>6.6468533724360904E-6</v>
      </c>
      <c r="E241" s="1">
        <v>7.3762953045547296E-85</v>
      </c>
      <c r="F241" s="1">
        <v>6.6468533724360904E-6</v>
      </c>
      <c r="G241" s="1">
        <v>7.7148555932714306E-6</v>
      </c>
      <c r="H241" t="s">
        <v>196</v>
      </c>
      <c r="I241" s="2"/>
    </row>
    <row r="242" spans="1:9" x14ac:dyDescent="0.25">
      <c r="A242" t="s">
        <v>113</v>
      </c>
      <c r="C242" s="1">
        <v>9.7630461469806594E-5</v>
      </c>
      <c r="D242" s="1">
        <v>9.7500529890854704E-5</v>
      </c>
      <c r="E242" s="1">
        <v>6.1114613134208601E-13</v>
      </c>
      <c r="F242" s="1">
        <v>9.7500529890854704E-5</v>
      </c>
      <c r="G242">
        <v>1.00283699704536E-4</v>
      </c>
      <c r="H242" t="s">
        <v>195</v>
      </c>
      <c r="I242" s="2"/>
    </row>
    <row r="243" spans="1:9" x14ac:dyDescent="0.25">
      <c r="A243" t="s">
        <v>112</v>
      </c>
      <c r="C243" s="1">
        <v>3.78286124618731E-6</v>
      </c>
      <c r="D243" s="1">
        <v>3.7538705040113501E-6</v>
      </c>
      <c r="E243" s="1">
        <v>4.25572561865953E-85</v>
      </c>
      <c r="F243" s="1">
        <v>3.75387050401134E-6</v>
      </c>
      <c r="G243" s="1">
        <v>4.4510566940386199E-6</v>
      </c>
      <c r="H243" t="s">
        <v>194</v>
      </c>
      <c r="I243" s="2"/>
    </row>
    <row r="244" spans="1:9" x14ac:dyDescent="0.25">
      <c r="A244" t="s">
        <v>111</v>
      </c>
      <c r="C244" s="1">
        <v>6.2552884642123194E-5</v>
      </c>
      <c r="D244" s="1">
        <v>6.2464405186748794E-5</v>
      </c>
      <c r="E244" s="1">
        <v>3.9274250721079899E-13</v>
      </c>
      <c r="F244" s="1">
        <v>6.2464405186748794E-5</v>
      </c>
      <c r="G244" s="1">
        <v>6.4429766420350296E-5</v>
      </c>
      <c r="H244" t="s">
        <v>193</v>
      </c>
      <c r="I244" s="2"/>
    </row>
    <row r="245" spans="1:9" x14ac:dyDescent="0.25">
      <c r="A245" t="s">
        <v>110</v>
      </c>
      <c r="C245" s="1">
        <v>3.6737880943694901E-8</v>
      </c>
      <c r="D245" s="1">
        <v>3.6737879332591E-8</v>
      </c>
      <c r="E245">
        <v>2.4081561625025801E-4</v>
      </c>
      <c r="F245" s="1">
        <v>3.6737879332591E-8</v>
      </c>
      <c r="G245" s="1">
        <v>2.6188515203720299E-8</v>
      </c>
      <c r="H245" t="s">
        <v>192</v>
      </c>
      <c r="I245" s="2"/>
    </row>
    <row r="246" spans="1:9" x14ac:dyDescent="0.25">
      <c r="A246" t="s">
        <v>109</v>
      </c>
      <c r="C246">
        <v>7.7332784938468604E-4</v>
      </c>
      <c r="D246" s="1">
        <v>1.6116617363888701E-8</v>
      </c>
      <c r="E246">
        <v>0.35187928646070799</v>
      </c>
      <c r="F246" s="1">
        <v>1.6116617363888701E-8</v>
      </c>
      <c r="G246">
        <v>9.99964805205291E-4</v>
      </c>
      <c r="H246" t="s">
        <v>191</v>
      </c>
      <c r="I246" s="2"/>
    </row>
    <row r="247" spans="1:9" x14ac:dyDescent="0.25">
      <c r="A247" t="s">
        <v>108</v>
      </c>
      <c r="C247">
        <v>0</v>
      </c>
      <c r="D247" s="1">
        <v>4.1142420723964402E-9</v>
      </c>
      <c r="E247" s="1">
        <v>3.76657324849767E-11</v>
      </c>
      <c r="F247" s="1">
        <v>4.1142420723964402E-9</v>
      </c>
      <c r="G247" s="1">
        <v>2.55297974098363E-7</v>
      </c>
      <c r="H247" t="s">
        <v>190</v>
      </c>
      <c r="I247" s="2"/>
    </row>
    <row r="248" spans="1:9" x14ac:dyDescent="0.25">
      <c r="A248" t="s">
        <v>107</v>
      </c>
      <c r="C248">
        <v>2.3724462625764799E-4</v>
      </c>
      <c r="D248">
        <v>2.3724461585351701E-4</v>
      </c>
      <c r="E248" s="1">
        <v>1.32035490964669E-7</v>
      </c>
      <c r="F248">
        <v>2.3724461585351701E-4</v>
      </c>
      <c r="G248">
        <v>2.4191516222095999E-4</v>
      </c>
      <c r="H248" t="s">
        <v>189</v>
      </c>
      <c r="I248" s="2"/>
    </row>
    <row r="249" spans="1:9" x14ac:dyDescent="0.25">
      <c r="A249" t="s">
        <v>106</v>
      </c>
      <c r="C249" s="1">
        <v>2.4708958331163301E-5</v>
      </c>
      <c r="D249" s="1">
        <v>5.5757489886248503E-8</v>
      </c>
      <c r="E249">
        <v>4.3362033961350899E-4</v>
      </c>
      <c r="F249" s="1">
        <v>5.5757489886248503E-8</v>
      </c>
      <c r="G249" s="1">
        <v>2.3258220635145699E-5</v>
      </c>
      <c r="H249" t="s">
        <v>106</v>
      </c>
      <c r="I249" s="2"/>
    </row>
    <row r="250" spans="1:9" x14ac:dyDescent="0.25">
      <c r="A250" t="s">
        <v>105</v>
      </c>
      <c r="C250" s="1">
        <v>5.5256976242287603E-8</v>
      </c>
      <c r="D250" s="1">
        <v>5.5256973819047003E-8</v>
      </c>
      <c r="E250" s="1">
        <v>5.9316910265915997E-6</v>
      </c>
      <c r="F250" s="1">
        <v>5.5256973819047003E-8</v>
      </c>
      <c r="G250" s="1">
        <v>1.83353077712735E-6</v>
      </c>
      <c r="H250" t="s">
        <v>105</v>
      </c>
      <c r="I250" s="2"/>
    </row>
    <row r="251" spans="1:9" x14ac:dyDescent="0.25">
      <c r="A251" t="s">
        <v>104</v>
      </c>
      <c r="C251" s="1">
        <v>3.0431378220390299E-6</v>
      </c>
      <c r="D251" s="1">
        <v>3.0431376885851999E-6</v>
      </c>
      <c r="E251">
        <v>3.1067741472133202E-3</v>
      </c>
      <c r="F251" s="1">
        <v>3.0431376885851999E-6</v>
      </c>
      <c r="G251" s="1">
        <v>6.6938220753680798E-6</v>
      </c>
      <c r="H251" t="s">
        <v>188</v>
      </c>
      <c r="I251" s="2"/>
    </row>
    <row r="252" spans="1:9" x14ac:dyDescent="0.25">
      <c r="A252" t="s">
        <v>103</v>
      </c>
      <c r="C252">
        <v>0</v>
      </c>
      <c r="D252">
        <v>0</v>
      </c>
      <c r="E252" s="1">
        <v>1.07143187663105E-15</v>
      </c>
      <c r="F252">
        <v>0</v>
      </c>
      <c r="G252" s="1">
        <v>3.6833303092360598E-15</v>
      </c>
      <c r="H252" t="s">
        <v>187</v>
      </c>
      <c r="I252" s="2"/>
    </row>
    <row r="253" spans="1:9" x14ac:dyDescent="0.25">
      <c r="A253" t="s">
        <v>102</v>
      </c>
      <c r="C253">
        <v>0</v>
      </c>
      <c r="D253">
        <v>0</v>
      </c>
      <c r="E253">
        <v>0</v>
      </c>
      <c r="F253">
        <v>0</v>
      </c>
      <c r="G253">
        <v>0</v>
      </c>
      <c r="H253" t="s">
        <v>102</v>
      </c>
      <c r="I253" s="2"/>
    </row>
    <row r="254" spans="1:9" x14ac:dyDescent="0.25">
      <c r="A254" t="s">
        <v>101</v>
      </c>
      <c r="C254">
        <v>0</v>
      </c>
      <c r="D254">
        <v>0</v>
      </c>
      <c r="E254">
        <v>0</v>
      </c>
      <c r="F254">
        <v>0</v>
      </c>
      <c r="G254">
        <v>0</v>
      </c>
      <c r="H254" t="s">
        <v>101</v>
      </c>
      <c r="I254" s="2"/>
    </row>
    <row r="255" spans="1:9" x14ac:dyDescent="0.25">
      <c r="A255" t="s">
        <v>100</v>
      </c>
      <c r="C255">
        <v>0</v>
      </c>
      <c r="D255">
        <v>0</v>
      </c>
      <c r="E255">
        <v>0</v>
      </c>
      <c r="F255">
        <v>0</v>
      </c>
      <c r="G255">
        <v>0</v>
      </c>
      <c r="H255" t="s">
        <v>100</v>
      </c>
      <c r="I255" s="2"/>
    </row>
    <row r="256" spans="1:9" x14ac:dyDescent="0.25">
      <c r="A256" t="s">
        <v>99</v>
      </c>
      <c r="C256">
        <v>0</v>
      </c>
      <c r="D256">
        <v>0</v>
      </c>
      <c r="E256">
        <v>0</v>
      </c>
      <c r="F256">
        <v>0</v>
      </c>
      <c r="G256">
        <v>0</v>
      </c>
      <c r="H256" t="s">
        <v>99</v>
      </c>
      <c r="I256" s="2"/>
    </row>
    <row r="257" spans="1:9" x14ac:dyDescent="0.25">
      <c r="A257" t="s">
        <v>98</v>
      </c>
      <c r="C257">
        <v>1.99405609917821E-3</v>
      </c>
      <c r="D257">
        <v>6.6468533724360901E-3</v>
      </c>
      <c r="E257" s="1">
        <v>1.94382106381908E-82</v>
      </c>
      <c r="F257">
        <v>6.6468533724360901E-3</v>
      </c>
      <c r="G257">
        <v>2.03303937645549E-3</v>
      </c>
      <c r="H257" t="s">
        <v>176</v>
      </c>
      <c r="I257" s="2"/>
    </row>
    <row r="258" spans="1:9" x14ac:dyDescent="0.25">
      <c r="A258" t="s">
        <v>97</v>
      </c>
      <c r="C258">
        <v>1.6112613941954E-3</v>
      </c>
      <c r="D258">
        <v>4.0281533088377701E-3</v>
      </c>
      <c r="E258" s="1">
        <v>2.8648804137935998E-10</v>
      </c>
      <c r="F258">
        <v>4.0281533088377701E-3</v>
      </c>
      <c r="G258">
        <v>1.6427611292092899E-3</v>
      </c>
      <c r="H258" t="s">
        <v>186</v>
      </c>
      <c r="I258" s="2"/>
    </row>
    <row r="259" spans="1:9" x14ac:dyDescent="0.25">
      <c r="A259" t="s">
        <v>96</v>
      </c>
      <c r="C259">
        <v>0</v>
      </c>
      <c r="D259">
        <v>0</v>
      </c>
      <c r="E259">
        <v>0</v>
      </c>
      <c r="F259">
        <v>0</v>
      </c>
      <c r="G259">
        <v>0</v>
      </c>
      <c r="H259" t="s">
        <v>185</v>
      </c>
      <c r="I259" s="2"/>
    </row>
    <row r="260" spans="1:9" x14ac:dyDescent="0.25">
      <c r="A260" t="s">
        <v>95</v>
      </c>
      <c r="C260" s="1">
        <v>4.0241493567752901E-6</v>
      </c>
      <c r="D260" s="1">
        <v>4.0241491803001599E-5</v>
      </c>
      <c r="E260" s="1">
        <v>2.2542976708619002E-22</v>
      </c>
      <c r="F260" s="1">
        <v>4.0241491803001599E-5</v>
      </c>
      <c r="G260" s="1">
        <v>4.1028204283890803E-6</v>
      </c>
      <c r="H260" t="s">
        <v>184</v>
      </c>
      <c r="I260" s="2"/>
    </row>
    <row r="261" spans="1:9" x14ac:dyDescent="0.25">
      <c r="A261" t="s">
        <v>94</v>
      </c>
      <c r="C261" s="1">
        <v>4.0241493567753003E-6</v>
      </c>
      <c r="D261" s="1">
        <v>4.0241491803001599E-5</v>
      </c>
      <c r="E261" s="1">
        <v>2.0908766446536899E-21</v>
      </c>
      <c r="F261" s="1">
        <v>4.0241491803001599E-5</v>
      </c>
      <c r="G261" s="1">
        <v>4.1028204283890803E-6</v>
      </c>
      <c r="H261" t="s">
        <v>183</v>
      </c>
      <c r="I261" s="2"/>
    </row>
    <row r="262" spans="1:9" x14ac:dyDescent="0.25">
      <c r="A262" t="s">
        <v>93</v>
      </c>
      <c r="C262" s="1">
        <v>5.0664145893531503E-5</v>
      </c>
      <c r="D262" s="1">
        <v>5.0251813147031904E-7</v>
      </c>
      <c r="E262" s="1">
        <v>1.69730671058838E-14</v>
      </c>
      <c r="F262" s="1">
        <v>5.0251813147031904E-7</v>
      </c>
      <c r="G262" s="1">
        <v>2.58273148287245E-8</v>
      </c>
      <c r="H262" t="s">
        <v>182</v>
      </c>
      <c r="I262" s="2"/>
    </row>
    <row r="263" spans="1:9" x14ac:dyDescent="0.25">
      <c r="A263" t="s">
        <v>92</v>
      </c>
      <c r="C263">
        <v>0</v>
      </c>
      <c r="D263">
        <v>0</v>
      </c>
      <c r="E263">
        <v>0</v>
      </c>
      <c r="F263">
        <v>0</v>
      </c>
      <c r="G263">
        <v>0</v>
      </c>
      <c r="H263" t="s">
        <v>181</v>
      </c>
      <c r="I263" s="2"/>
    </row>
    <row r="264" spans="1:9" x14ac:dyDescent="0.25">
      <c r="A264" t="s">
        <v>91</v>
      </c>
      <c r="C264" s="1">
        <v>4.0241493567753003E-6</v>
      </c>
      <c r="D264" s="1">
        <v>4.0241491803001599E-5</v>
      </c>
      <c r="E264" s="1">
        <v>2.0300671536075501E-18</v>
      </c>
      <c r="F264" s="1">
        <v>4.0241491803001599E-5</v>
      </c>
      <c r="G264" s="1">
        <v>4.1028204283890396E-6</v>
      </c>
      <c r="H264" t="s">
        <v>180</v>
      </c>
      <c r="I264" s="2"/>
    </row>
    <row r="265" spans="1:9" x14ac:dyDescent="0.25">
      <c r="A265" t="s">
        <v>90</v>
      </c>
      <c r="C265">
        <v>1.48750482529868E-3</v>
      </c>
      <c r="D265">
        <v>1.14417972962266E-3</v>
      </c>
      <c r="E265" s="1">
        <v>1.10266354423585E-11</v>
      </c>
      <c r="F265">
        <v>1.14417972962266E-3</v>
      </c>
      <c r="G265">
        <v>1.51658515691905E-3</v>
      </c>
      <c r="H265" t="s">
        <v>179</v>
      </c>
      <c r="I265" s="2"/>
    </row>
    <row r="266" spans="1:9" x14ac:dyDescent="0.25">
      <c r="A266" t="s">
        <v>89</v>
      </c>
      <c r="C266" s="1">
        <v>7.3228621649245804E-5</v>
      </c>
      <c r="D266">
        <v>0</v>
      </c>
      <c r="E266" s="1">
        <v>6.2080231449690998E-5</v>
      </c>
      <c r="F266">
        <v>0</v>
      </c>
      <c r="G266" s="1">
        <v>7.3468205421154596E-5</v>
      </c>
      <c r="H266" t="s">
        <v>178</v>
      </c>
      <c r="I266" s="2"/>
    </row>
    <row r="267" spans="1:9" x14ac:dyDescent="0.25">
      <c r="A267" t="s">
        <v>88</v>
      </c>
      <c r="C267" s="1">
        <v>1.73094781996661E-5</v>
      </c>
      <c r="D267" s="1">
        <v>1.7117649498291701E-7</v>
      </c>
      <c r="E267" s="1">
        <v>3.9654591488408202E-16</v>
      </c>
      <c r="F267" s="1">
        <v>1.7117649498291701E-7</v>
      </c>
      <c r="G267" s="1">
        <v>8.8239461458526508E-9</v>
      </c>
      <c r="H267" t="s">
        <v>177</v>
      </c>
      <c r="I267" s="2"/>
    </row>
    <row r="268" spans="1:9" x14ac:dyDescent="0.25">
      <c r="A268" t="s">
        <v>87</v>
      </c>
      <c r="C268">
        <v>0</v>
      </c>
      <c r="D268">
        <v>0</v>
      </c>
      <c r="E268">
        <v>0</v>
      </c>
      <c r="F268">
        <v>0</v>
      </c>
      <c r="G268">
        <v>0</v>
      </c>
      <c r="H268" t="s">
        <v>176</v>
      </c>
      <c r="I268" s="2"/>
    </row>
    <row r="269" spans="1:9" x14ac:dyDescent="0.25">
      <c r="A269" t="s">
        <v>86</v>
      </c>
      <c r="C269">
        <v>2.5128737040053398E-3</v>
      </c>
      <c r="D269">
        <v>5.0101658326871402E-3</v>
      </c>
      <c r="E269">
        <v>3.6880119455893401E-3</v>
      </c>
      <c r="F269">
        <v>5.0101658326871402E-3</v>
      </c>
      <c r="G269">
        <v>2.49118537049109E-3</v>
      </c>
      <c r="H269" t="s">
        <v>175</v>
      </c>
      <c r="I269" s="2"/>
    </row>
    <row r="270" spans="1:9" x14ac:dyDescent="0.25">
      <c r="A270" t="s">
        <v>85</v>
      </c>
      <c r="C270" s="1">
        <v>2.9530449259918201E-5</v>
      </c>
      <c r="D270">
        <v>2.9530447964889198E-4</v>
      </c>
      <c r="E270">
        <v>2.11081922824966E-4</v>
      </c>
      <c r="F270">
        <v>2.9530447964889198E-4</v>
      </c>
      <c r="G270" s="1">
        <v>2.6054729633001199E-5</v>
      </c>
      <c r="H270" t="s">
        <v>174</v>
      </c>
      <c r="I270" s="2"/>
    </row>
    <row r="271" spans="1:9" x14ac:dyDescent="0.25">
      <c r="A271" t="s">
        <v>84</v>
      </c>
      <c r="C271" s="1">
        <v>8.0583090353336199E-7</v>
      </c>
      <c r="D271" s="1">
        <v>1.6116617363888699E-6</v>
      </c>
      <c r="E271" s="1">
        <v>4.2778432308835E-5</v>
      </c>
      <c r="F271" s="1">
        <v>1.6116617363888699E-6</v>
      </c>
      <c r="G271" s="1">
        <v>1.86237234124729E-10</v>
      </c>
      <c r="H271" t="s">
        <v>173</v>
      </c>
      <c r="I271" s="2"/>
    </row>
    <row r="272" spans="1:9" x14ac:dyDescent="0.25">
      <c r="A272" t="s">
        <v>83</v>
      </c>
      <c r="C272">
        <v>0</v>
      </c>
      <c r="D272">
        <v>0</v>
      </c>
      <c r="E272">
        <v>0</v>
      </c>
      <c r="F272">
        <v>0</v>
      </c>
      <c r="G272">
        <v>0</v>
      </c>
      <c r="H272" t="s">
        <v>172</v>
      </c>
      <c r="I272" s="2"/>
    </row>
    <row r="273" spans="1:9" x14ac:dyDescent="0.25">
      <c r="A273" t="s">
        <v>82</v>
      </c>
      <c r="C273">
        <v>1.10784231172717E-2</v>
      </c>
      <c r="D273">
        <v>1.10784226314383E-2</v>
      </c>
      <c r="E273" s="1">
        <v>2.2917383402698002E-14</v>
      </c>
      <c r="F273">
        <v>1.10784226314383E-2</v>
      </c>
      <c r="G273">
        <v>1.12950034032289E-2</v>
      </c>
      <c r="H273" t="s">
        <v>82</v>
      </c>
      <c r="I273" s="2"/>
    </row>
    <row r="274" spans="1:9" x14ac:dyDescent="0.25">
      <c r="A274" t="s">
        <v>25</v>
      </c>
      <c r="B274" t="s">
        <v>24</v>
      </c>
      <c r="C274">
        <v>0.343258486030875</v>
      </c>
      <c r="D274">
        <v>0.33301681956001</v>
      </c>
      <c r="E274">
        <v>6.85789107305472</v>
      </c>
      <c r="F274">
        <v>0.33300000000000002</v>
      </c>
      <c r="G274">
        <v>0.33967080535238903</v>
      </c>
      <c r="I274" s="2"/>
    </row>
    <row r="275" spans="1:9" x14ac:dyDescent="0.25">
      <c r="A275" t="s">
        <v>23</v>
      </c>
      <c r="I275" s="2"/>
    </row>
    <row r="276" spans="1:9" x14ac:dyDescent="0.25">
      <c r="A276" t="s">
        <v>21</v>
      </c>
      <c r="B276" t="s">
        <v>20</v>
      </c>
      <c r="E276">
        <v>-194112082.36968401</v>
      </c>
      <c r="I276" s="2"/>
    </row>
    <row r="277" spans="1:9" x14ac:dyDescent="0.25">
      <c r="A277" t="s">
        <v>19</v>
      </c>
      <c r="B277" t="s">
        <v>18</v>
      </c>
      <c r="E277">
        <v>-7845904.8385016099</v>
      </c>
      <c r="I277" s="2"/>
    </row>
    <row r="278" spans="1:9" x14ac:dyDescent="0.25">
      <c r="A278" t="s">
        <v>17</v>
      </c>
      <c r="B278" t="s">
        <v>16</v>
      </c>
      <c r="E278">
        <v>-38400.983597944003</v>
      </c>
      <c r="I278" s="2"/>
    </row>
    <row r="279" spans="1:9" x14ac:dyDescent="0.25">
      <c r="A279" t="s">
        <v>15</v>
      </c>
      <c r="B279" t="s">
        <v>14</v>
      </c>
      <c r="E279">
        <v>-1552.14687996869</v>
      </c>
      <c r="I279" s="2"/>
    </row>
    <row r="280" spans="1:9" x14ac:dyDescent="0.25">
      <c r="A280" t="s">
        <v>13</v>
      </c>
      <c r="B280" t="s">
        <v>12</v>
      </c>
      <c r="E280">
        <v>3.7137866090640702E-2</v>
      </c>
      <c r="I280" s="2"/>
    </row>
    <row r="281" spans="1:9" x14ac:dyDescent="0.25">
      <c r="A281" t="s">
        <v>11</v>
      </c>
      <c r="B281" t="s">
        <v>10</v>
      </c>
      <c r="E281">
        <v>0.91881161829098401</v>
      </c>
      <c r="I281" s="2"/>
    </row>
    <row r="282" spans="1:9" x14ac:dyDescent="0.25">
      <c r="A282" t="s">
        <v>9</v>
      </c>
      <c r="B282" t="s">
        <v>8</v>
      </c>
      <c r="E282">
        <v>-0.57219802542697795</v>
      </c>
      <c r="I282" s="2"/>
    </row>
    <row r="283" spans="1:9" x14ac:dyDescent="0.25">
      <c r="A283" t="s">
        <v>7</v>
      </c>
      <c r="E283">
        <v>24.740560377068601</v>
      </c>
      <c r="I283" s="2"/>
    </row>
    <row r="284" spans="1:9" x14ac:dyDescent="0.25">
      <c r="A284" t="s">
        <v>6</v>
      </c>
      <c r="B284" t="s">
        <v>5</v>
      </c>
      <c r="E284" s="1">
        <v>1.0611976680637799E-5</v>
      </c>
      <c r="I284" s="2"/>
    </row>
    <row r="285" spans="1:9" x14ac:dyDescent="0.25">
      <c r="A285" t="s">
        <v>4</v>
      </c>
      <c r="I285" s="2"/>
    </row>
    <row r="286" spans="1:9" x14ac:dyDescent="0.25">
      <c r="A286" t="s">
        <v>3</v>
      </c>
      <c r="B286" t="s">
        <v>2</v>
      </c>
      <c r="E286">
        <v>6.3011099948966903E-3</v>
      </c>
      <c r="I286" s="2"/>
    </row>
    <row r="287" spans="1:9" x14ac:dyDescent="0.25">
      <c r="A287" t="s">
        <v>1</v>
      </c>
      <c r="I287" s="2"/>
    </row>
    <row r="288" spans="1:9" x14ac:dyDescent="0.25">
      <c r="A288" t="s">
        <v>22</v>
      </c>
      <c r="I288" s="2"/>
    </row>
    <row r="289" spans="1:9" x14ac:dyDescent="0.25">
      <c r="A289" t="s">
        <v>21</v>
      </c>
      <c r="B289" t="s">
        <v>20</v>
      </c>
      <c r="C289">
        <v>-285634430.79890603</v>
      </c>
      <c r="D289">
        <v>-288128704.31408203</v>
      </c>
      <c r="F289">
        <v>-288132705.19655597</v>
      </c>
      <c r="G289">
        <v>-283727882.92068303</v>
      </c>
      <c r="I289" s="2"/>
    </row>
    <row r="290" spans="1:9" x14ac:dyDescent="0.25">
      <c r="A290" t="s">
        <v>19</v>
      </c>
      <c r="B290" t="s">
        <v>18</v>
      </c>
      <c r="C290">
        <v>-15127616.236327</v>
      </c>
      <c r="D290">
        <v>-15249750.07846</v>
      </c>
      <c r="F290">
        <v>-15249961.832641101</v>
      </c>
      <c r="G290">
        <v>-15266287.6294134</v>
      </c>
      <c r="I290" s="2"/>
    </row>
    <row r="291" spans="1:9" x14ac:dyDescent="0.25">
      <c r="A291" t="s">
        <v>17</v>
      </c>
      <c r="B291" t="s">
        <v>16</v>
      </c>
      <c r="C291">
        <v>-157643.50142000301</v>
      </c>
      <c r="D291">
        <v>-166101.26922396701</v>
      </c>
      <c r="F291">
        <v>-166115.37986259101</v>
      </c>
      <c r="G291">
        <v>-156278.58610077301</v>
      </c>
      <c r="I291" s="2"/>
    </row>
    <row r="292" spans="1:9" x14ac:dyDescent="0.25">
      <c r="A292" t="s">
        <v>15</v>
      </c>
      <c r="B292" t="s">
        <v>14</v>
      </c>
      <c r="C292">
        <v>-8349.0298594696396</v>
      </c>
      <c r="D292">
        <v>-8791.2200535887405</v>
      </c>
      <c r="F292">
        <v>-8791.9668855053405</v>
      </c>
      <c r="G292">
        <v>-8408.7394625201796</v>
      </c>
      <c r="I292" s="2"/>
    </row>
    <row r="293" spans="1:9" x14ac:dyDescent="0.25">
      <c r="A293" t="s">
        <v>13</v>
      </c>
      <c r="B293" t="s">
        <v>12</v>
      </c>
      <c r="C293">
        <v>51.622035350220699</v>
      </c>
      <c r="D293">
        <v>53.174879564172798</v>
      </c>
      <c r="F293">
        <v>53.177565384226</v>
      </c>
      <c r="G293">
        <v>51.982989141575104</v>
      </c>
      <c r="I293" s="2"/>
    </row>
    <row r="294" spans="1:9" x14ac:dyDescent="0.25">
      <c r="A294" t="s">
        <v>11</v>
      </c>
      <c r="B294" t="s">
        <v>10</v>
      </c>
      <c r="C294">
        <v>974.70946205873702</v>
      </c>
      <c r="D294">
        <v>1004.6859176088</v>
      </c>
      <c r="F294">
        <v>1004.73666347991</v>
      </c>
      <c r="G294">
        <v>966.11722607735703</v>
      </c>
      <c r="I294" s="2"/>
    </row>
    <row r="295" spans="1:9" x14ac:dyDescent="0.25">
      <c r="A295" t="s">
        <v>9</v>
      </c>
      <c r="B295" t="s">
        <v>8</v>
      </c>
      <c r="C295">
        <v>-58.5805197806541</v>
      </c>
      <c r="D295">
        <v>-59.053476194914197</v>
      </c>
      <c r="F295">
        <v>-59.054296196581703</v>
      </c>
      <c r="G295">
        <v>-57.9839430070598</v>
      </c>
      <c r="I295" s="2"/>
    </row>
    <row r="296" spans="1:9" x14ac:dyDescent="0.25">
      <c r="A296" t="s">
        <v>7</v>
      </c>
      <c r="C296">
        <v>18.881655003449399</v>
      </c>
      <c r="D296">
        <v>18.893995169209902</v>
      </c>
      <c r="F296">
        <v>18.893995169209902</v>
      </c>
      <c r="G296">
        <v>18.585257254948299</v>
      </c>
      <c r="I296" s="2"/>
    </row>
    <row r="297" spans="1:9" x14ac:dyDescent="0.25">
      <c r="A297" t="s">
        <v>6</v>
      </c>
      <c r="B297" t="s">
        <v>5</v>
      </c>
      <c r="C297">
        <v>7.3832090417288098E-4</v>
      </c>
      <c r="D297">
        <v>7.3783871970614005E-4</v>
      </c>
      <c r="F297">
        <v>7.3783871970614005E-4</v>
      </c>
      <c r="G297">
        <v>7.3571265776430496E-4</v>
      </c>
      <c r="I297" s="2"/>
    </row>
    <row r="298" spans="1:9" x14ac:dyDescent="0.25">
      <c r="A298" t="s">
        <v>4</v>
      </c>
      <c r="I298" s="2"/>
    </row>
    <row r="299" spans="1:9" x14ac:dyDescent="0.25">
      <c r="A299" t="s">
        <v>3</v>
      </c>
      <c r="B299" t="s">
        <v>2</v>
      </c>
      <c r="C299">
        <v>0.33457729426625099</v>
      </c>
      <c r="D299">
        <v>0.33457730893881199</v>
      </c>
      <c r="F299">
        <v>0.33457730893881199</v>
      </c>
      <c r="G299">
        <v>0.32816181624650997</v>
      </c>
      <c r="I299" s="2"/>
    </row>
    <row r="300" spans="1:9" x14ac:dyDescent="0.25">
      <c r="A300" t="s">
        <v>1</v>
      </c>
      <c r="I300" s="2"/>
    </row>
    <row r="301" spans="1:9" x14ac:dyDescent="0.25">
      <c r="A301" t="s">
        <v>0</v>
      </c>
      <c r="I301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W532"/>
  <sheetViews>
    <sheetView topLeftCell="F1" workbookViewId="0">
      <selection activeCell="N42" sqref="N42"/>
    </sheetView>
  </sheetViews>
  <sheetFormatPr defaultRowHeight="15" x14ac:dyDescent="0.25"/>
  <cols>
    <col min="1" max="1" width="22.7109375" bestFit="1" customWidth="1"/>
    <col min="3" max="4" width="0" hidden="1" customWidth="1"/>
    <col min="5" max="5" width="12.7109375" hidden="1" customWidth="1"/>
    <col min="6" max="6" width="12.140625" bestFit="1" customWidth="1"/>
    <col min="7" max="7" width="12" bestFit="1" customWidth="1"/>
    <col min="8" max="8" width="14.5703125" bestFit="1" customWidth="1"/>
    <col min="9" max="9" width="14.85546875" bestFit="1" customWidth="1"/>
    <col min="10" max="10" width="21.85546875" style="9" bestFit="1" customWidth="1"/>
    <col min="11" max="11" width="17.7109375" bestFit="1" customWidth="1"/>
    <col min="14" max="14" width="32" bestFit="1" customWidth="1"/>
    <col min="15" max="16" width="10.5703125" bestFit="1" customWidth="1"/>
  </cols>
  <sheetData>
    <row r="1" spans="1:22" x14ac:dyDescent="0.25">
      <c r="B1" t="s">
        <v>171</v>
      </c>
      <c r="C1" t="s">
        <v>170</v>
      </c>
      <c r="D1" t="s">
        <v>169</v>
      </c>
      <c r="E1" t="s">
        <v>168</v>
      </c>
      <c r="F1" t="s">
        <v>167</v>
      </c>
      <c r="G1" t="s">
        <v>166</v>
      </c>
      <c r="H1" t="s">
        <v>245</v>
      </c>
      <c r="I1" t="s">
        <v>244</v>
      </c>
      <c r="J1" s="9" t="s">
        <v>297</v>
      </c>
      <c r="K1" t="s">
        <v>295</v>
      </c>
      <c r="L1" s="4" t="s">
        <v>293</v>
      </c>
      <c r="V1" t="s">
        <v>261</v>
      </c>
    </row>
    <row r="2" spans="1:22" hidden="1" x14ac:dyDescent="0.25">
      <c r="A2" t="s">
        <v>165</v>
      </c>
    </row>
    <row r="3" spans="1:22" hidden="1" x14ac:dyDescent="0.25">
      <c r="A3" t="s">
        <v>164</v>
      </c>
      <c r="D3" t="s">
        <v>163</v>
      </c>
      <c r="F3" t="s">
        <v>161</v>
      </c>
      <c r="G3" t="s">
        <v>161</v>
      </c>
    </row>
    <row r="4" spans="1:22" hidden="1" x14ac:dyDescent="0.25">
      <c r="A4" t="s">
        <v>162</v>
      </c>
      <c r="C4" t="s">
        <v>160</v>
      </c>
      <c r="D4" t="s">
        <v>161</v>
      </c>
      <c r="E4" t="s">
        <v>160</v>
      </c>
    </row>
    <row r="5" spans="1:22" hidden="1" x14ac:dyDescent="0.25">
      <c r="A5" t="s">
        <v>159</v>
      </c>
      <c r="C5" t="s">
        <v>158</v>
      </c>
      <c r="D5" t="s">
        <v>158</v>
      </c>
      <c r="E5" t="s">
        <v>158</v>
      </c>
      <c r="F5" t="s">
        <v>158</v>
      </c>
      <c r="G5" t="s">
        <v>158</v>
      </c>
    </row>
    <row r="6" spans="1:22" hidden="1" x14ac:dyDescent="0.25">
      <c r="A6" t="s">
        <v>157</v>
      </c>
    </row>
    <row r="7" spans="1:22" hidden="1" x14ac:dyDescent="0.25">
      <c r="A7" t="s">
        <v>156</v>
      </c>
      <c r="B7" t="s">
        <v>155</v>
      </c>
    </row>
    <row r="8" spans="1:22" hidden="1" x14ac:dyDescent="0.25">
      <c r="A8" t="s">
        <v>154</v>
      </c>
    </row>
    <row r="9" spans="1:22" hidden="1" x14ac:dyDescent="0.25">
      <c r="A9" t="s">
        <v>153</v>
      </c>
      <c r="D9" t="s">
        <v>22</v>
      </c>
      <c r="E9" t="s">
        <v>22</v>
      </c>
      <c r="F9" t="s">
        <v>22</v>
      </c>
      <c r="G9" t="s">
        <v>23</v>
      </c>
    </row>
    <row r="10" spans="1:22" hidden="1" x14ac:dyDescent="0.25">
      <c r="A10" t="s">
        <v>152</v>
      </c>
      <c r="B10" t="s">
        <v>151</v>
      </c>
      <c r="C10">
        <v>296.14999999999998</v>
      </c>
      <c r="D10">
        <v>328.15</v>
      </c>
      <c r="E10">
        <v>296.14999999999998</v>
      </c>
      <c r="F10" s="5">
        <v>328</v>
      </c>
      <c r="G10" s="5">
        <v>328</v>
      </c>
    </row>
    <row r="11" spans="1:22" hidden="1" x14ac:dyDescent="0.25">
      <c r="A11" t="s">
        <v>150</v>
      </c>
      <c r="B11" t="s">
        <v>149</v>
      </c>
      <c r="C11">
        <v>101325</v>
      </c>
      <c r="D11">
        <v>101325</v>
      </c>
      <c r="E11">
        <v>101325</v>
      </c>
      <c r="F11" s="5">
        <v>101325</v>
      </c>
      <c r="G11" s="5">
        <v>101325</v>
      </c>
    </row>
    <row r="12" spans="1:22" hidden="1" x14ac:dyDescent="0.25">
      <c r="A12" t="s">
        <v>148</v>
      </c>
      <c r="C12">
        <v>2.9963917456654599E-4</v>
      </c>
      <c r="D12">
        <v>0</v>
      </c>
      <c r="E12">
        <v>0</v>
      </c>
      <c r="F12" s="5">
        <v>0</v>
      </c>
      <c r="G12" s="5">
        <v>1</v>
      </c>
    </row>
    <row r="13" spans="1:22" hidden="1" x14ac:dyDescent="0.25">
      <c r="A13" t="s">
        <v>147</v>
      </c>
      <c r="C13">
        <v>0.99970036082543301</v>
      </c>
      <c r="D13">
        <v>1</v>
      </c>
      <c r="E13">
        <v>1</v>
      </c>
      <c r="F13" s="5">
        <v>1</v>
      </c>
      <c r="G13" s="5">
        <v>0</v>
      </c>
    </row>
    <row r="14" spans="1:22" hidden="1" x14ac:dyDescent="0.25">
      <c r="A14" t="s">
        <v>146</v>
      </c>
      <c r="C14">
        <v>0</v>
      </c>
      <c r="D14">
        <v>0</v>
      </c>
      <c r="E14">
        <v>0</v>
      </c>
      <c r="F14" s="5">
        <v>0</v>
      </c>
      <c r="G14" s="5">
        <v>0</v>
      </c>
    </row>
    <row r="15" spans="1:22" hidden="1" x14ac:dyDescent="0.25">
      <c r="A15" t="s">
        <v>145</v>
      </c>
      <c r="C15">
        <v>1.7929548259169E-3</v>
      </c>
      <c r="D15">
        <v>0</v>
      </c>
      <c r="E15">
        <v>0</v>
      </c>
      <c r="F15" s="5">
        <v>0</v>
      </c>
      <c r="G15" s="5">
        <v>0.999999999999999</v>
      </c>
    </row>
    <row r="16" spans="1:22" hidden="1" x14ac:dyDescent="0.25">
      <c r="A16" t="s">
        <v>144</v>
      </c>
      <c r="C16">
        <v>0.99820704517408299</v>
      </c>
      <c r="D16">
        <v>1</v>
      </c>
      <c r="E16">
        <v>1</v>
      </c>
      <c r="F16" s="5">
        <v>1</v>
      </c>
      <c r="G16" s="5">
        <v>1.4432899320127E-15</v>
      </c>
      <c r="V16" s="1"/>
    </row>
    <row r="17" spans="1:23" hidden="1" x14ac:dyDescent="0.25">
      <c r="A17" t="s">
        <v>143</v>
      </c>
      <c r="C17">
        <v>0</v>
      </c>
      <c r="D17">
        <v>0</v>
      </c>
      <c r="E17">
        <v>0</v>
      </c>
      <c r="F17" s="5">
        <v>0</v>
      </c>
      <c r="G17" s="5">
        <v>0</v>
      </c>
    </row>
    <row r="18" spans="1:23" hidden="1" x14ac:dyDescent="0.25">
      <c r="A18" t="s">
        <v>21</v>
      </c>
      <c r="B18" t="s">
        <v>20</v>
      </c>
      <c r="C18">
        <v>-288059853.390706</v>
      </c>
      <c r="D18">
        <v>-283717531.84718001</v>
      </c>
      <c r="E18">
        <v>-604276158.94624996</v>
      </c>
      <c r="F18" s="5">
        <v>-41542667203.657501</v>
      </c>
      <c r="G18" s="5">
        <v>-210227252.98440099</v>
      </c>
    </row>
    <row r="19" spans="1:23" hidden="1" x14ac:dyDescent="0.25">
      <c r="A19" t="s">
        <v>19</v>
      </c>
      <c r="B19" t="s">
        <v>18</v>
      </c>
      <c r="C19">
        <v>-15161541.8741409</v>
      </c>
      <c r="D19">
        <v>-15206999.5397324</v>
      </c>
      <c r="E19">
        <v>-6029555.4561173497</v>
      </c>
      <c r="F19" s="5">
        <v>-2196203015.6925802</v>
      </c>
      <c r="G19" s="5">
        <v>-7741763.7606934197</v>
      </c>
    </row>
    <row r="20" spans="1:23" hidden="1" x14ac:dyDescent="0.25">
      <c r="A20" t="s">
        <v>17</v>
      </c>
      <c r="B20" t="s">
        <v>16</v>
      </c>
      <c r="C20">
        <v>-167359.06641718501</v>
      </c>
      <c r="D20">
        <v>-156670.705124303</v>
      </c>
      <c r="E20" s="1">
        <v>1030380.9979260199</v>
      </c>
      <c r="F20" s="5"/>
      <c r="G20" s="5">
        <v>-39940.159502815797</v>
      </c>
    </row>
    <row r="21" spans="1:23" hidden="1" x14ac:dyDescent="0.25">
      <c r="A21" t="s">
        <v>15</v>
      </c>
      <c r="B21" t="s">
        <v>14</v>
      </c>
      <c r="C21">
        <v>-8808.66064338264</v>
      </c>
      <c r="D21">
        <v>-8397.4061285649204</v>
      </c>
      <c r="E21">
        <v>10281.2915517938</v>
      </c>
      <c r="F21" s="5"/>
      <c r="G21" s="5">
        <v>-1470.82395381991</v>
      </c>
    </row>
    <row r="22" spans="1:23" hidden="1" x14ac:dyDescent="0.25">
      <c r="A22" t="s">
        <v>13</v>
      </c>
      <c r="B22" t="s">
        <v>12</v>
      </c>
      <c r="C22">
        <v>38.020997997071397</v>
      </c>
      <c r="D22">
        <v>51.581851842864602</v>
      </c>
      <c r="E22">
        <v>5.7072341107972102</v>
      </c>
      <c r="F22" s="5">
        <v>50.249390401183398</v>
      </c>
      <c r="G22" s="5">
        <v>3.7154849870864898E-2</v>
      </c>
    </row>
    <row r="23" spans="1:23" hidden="1" x14ac:dyDescent="0.25">
      <c r="A23" t="s">
        <v>11</v>
      </c>
      <c r="B23" t="s">
        <v>10</v>
      </c>
      <c r="C23" s="1">
        <v>722.37528344558996</v>
      </c>
      <c r="D23">
        <v>962.36444636743897</v>
      </c>
      <c r="E23" s="1">
        <v>571.97342851878</v>
      </c>
      <c r="F23" s="5">
        <v>950.50124588082599</v>
      </c>
      <c r="G23" s="5">
        <v>1.0089383071926901</v>
      </c>
    </row>
    <row r="24" spans="1:23" hidden="1" x14ac:dyDescent="0.25">
      <c r="A24" t="s">
        <v>9</v>
      </c>
      <c r="B24" t="s">
        <v>8</v>
      </c>
      <c r="C24" s="1">
        <v>-42.2120786485184</v>
      </c>
      <c r="D24">
        <v>-41.5588249591246</v>
      </c>
      <c r="E24" s="1">
        <v>-7.9832071913879001E-4</v>
      </c>
      <c r="F24" s="5">
        <v>-6118.09617966939</v>
      </c>
      <c r="G24" s="5">
        <v>-0.42426618583151399</v>
      </c>
    </row>
    <row r="25" spans="1:23" hidden="1" x14ac:dyDescent="0.25">
      <c r="A25" t="s">
        <v>7</v>
      </c>
      <c r="C25">
        <v>18.999377225743299</v>
      </c>
      <c r="D25">
        <v>18.657035604288101</v>
      </c>
      <c r="E25" s="1">
        <v>100.219023333333</v>
      </c>
      <c r="F25" s="5">
        <v>18.9156771513479</v>
      </c>
      <c r="G25" s="5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0.66225967965421495</v>
      </c>
      <c r="G26" s="5">
        <v>6.2485861580758003E-3</v>
      </c>
      <c r="H26" t="s">
        <v>246</v>
      </c>
      <c r="I26" t="s">
        <v>296</v>
      </c>
      <c r="L26" s="10" t="s">
        <v>294</v>
      </c>
      <c r="V26" s="1" t="s">
        <v>223</v>
      </c>
      <c r="W26">
        <v>14</v>
      </c>
    </row>
    <row r="27" spans="1:23" x14ac:dyDescent="0.25">
      <c r="A27" s="10" t="s">
        <v>142</v>
      </c>
      <c r="B27" s="10" t="s">
        <v>242</v>
      </c>
      <c r="C27" s="10">
        <v>0.52344824473247398</v>
      </c>
      <c r="D27" s="10">
        <v>0.52120582930974602</v>
      </c>
      <c r="E27" s="10">
        <v>0</v>
      </c>
      <c r="F27" s="15">
        <v>0.53472568413328403</v>
      </c>
      <c r="G27" s="15">
        <v>7.7790754710721196E-4</v>
      </c>
      <c r="H27" s="10" t="s">
        <v>217</v>
      </c>
      <c r="I27" s="10">
        <v>18</v>
      </c>
      <c r="J27" s="10">
        <v>0</v>
      </c>
      <c r="K27" s="10">
        <f t="shared" ref="K27:K36" si="0">G27*J27</f>
        <v>0</v>
      </c>
      <c r="N27" t="s">
        <v>298</v>
      </c>
      <c r="V27" t="s">
        <v>224</v>
      </c>
      <c r="W27">
        <v>12</v>
      </c>
    </row>
    <row r="28" spans="1:23" x14ac:dyDescent="0.25">
      <c r="A28" s="4" t="s">
        <v>141</v>
      </c>
      <c r="B28" s="4" t="s">
        <v>242</v>
      </c>
      <c r="C28" s="4">
        <v>0</v>
      </c>
      <c r="D28" s="11">
        <v>6.3526410889726801E-6</v>
      </c>
      <c r="E28" s="11">
        <v>0</v>
      </c>
      <c r="F28" s="12">
        <v>6.35264110611115E-6</v>
      </c>
      <c r="G28" s="12">
        <v>2.58898430194079E-13</v>
      </c>
      <c r="H28" s="4" t="s">
        <v>216</v>
      </c>
      <c r="I28" s="4">
        <v>92</v>
      </c>
      <c r="J28" s="4">
        <v>0</v>
      </c>
      <c r="K28" s="4">
        <f t="shared" si="0"/>
        <v>0</v>
      </c>
      <c r="N28" t="s">
        <v>299</v>
      </c>
      <c r="O28" s="5">
        <f>SUM(K28:K34)+SUM(K40:K58)+SUM(K60:K62)+SUM(K64:K69)+SUM(K71:K114)</f>
        <v>9.5084395190857859E-4</v>
      </c>
      <c r="V28" t="s">
        <v>227</v>
      </c>
      <c r="W28">
        <v>1</v>
      </c>
    </row>
    <row r="29" spans="1:23" x14ac:dyDescent="0.25">
      <c r="A29" s="4" t="s">
        <v>140</v>
      </c>
      <c r="B29" s="4" t="s">
        <v>242</v>
      </c>
      <c r="C29" s="4">
        <v>0</v>
      </c>
      <c r="D29" s="11">
        <v>1.00723431601702E-7</v>
      </c>
      <c r="E29" s="11">
        <v>0</v>
      </c>
      <c r="F29" s="12">
        <v>8.1662307424687204E-14</v>
      </c>
      <c r="G29" s="12">
        <v>4.1737078538341099E-23</v>
      </c>
      <c r="H29" s="4" t="s">
        <v>225</v>
      </c>
      <c r="I29" s="4">
        <v>282</v>
      </c>
      <c r="J29" s="4">
        <v>0</v>
      </c>
      <c r="K29" s="4">
        <f t="shared" si="0"/>
        <v>0</v>
      </c>
      <c r="N29" t="s">
        <v>300</v>
      </c>
      <c r="O29" s="5">
        <f>K27+SUM(K35:K39)+K59+K63+K70+SUM(K115:K143)</f>
        <v>2.1558332721677693E-2</v>
      </c>
      <c r="V29" t="s">
        <v>226</v>
      </c>
      <c r="W29">
        <v>16</v>
      </c>
    </row>
    <row r="30" spans="1:23" x14ac:dyDescent="0.25">
      <c r="A30" s="4" t="s">
        <v>139</v>
      </c>
      <c r="B30" s="4" t="s">
        <v>242</v>
      </c>
      <c r="C30" s="11">
        <v>5.5684475094639797E-4</v>
      </c>
      <c r="D30" s="11">
        <v>2.18952009969245E-7</v>
      </c>
      <c r="E30" s="4">
        <v>0</v>
      </c>
      <c r="F30" s="12">
        <v>2.1895201351657901E-7</v>
      </c>
      <c r="G30" s="12">
        <v>4.2024728831064202E-20</v>
      </c>
      <c r="H30" s="4" t="s">
        <v>185</v>
      </c>
      <c r="I30" s="4">
        <v>180</v>
      </c>
      <c r="J30" s="4">
        <v>0</v>
      </c>
      <c r="K30" s="4">
        <f t="shared" si="0"/>
        <v>0</v>
      </c>
      <c r="N30" t="s">
        <v>303</v>
      </c>
      <c r="O30" s="5">
        <f>O28/$F$26</f>
        <v>1.4357569713515429E-3</v>
      </c>
      <c r="V30" s="1" t="s">
        <v>222</v>
      </c>
      <c r="W30">
        <v>32</v>
      </c>
    </row>
    <row r="31" spans="1:23" x14ac:dyDescent="0.25">
      <c r="A31" s="4" t="s">
        <v>138</v>
      </c>
      <c r="B31" s="4" t="s">
        <v>242</v>
      </c>
      <c r="C31" s="4">
        <v>0</v>
      </c>
      <c r="D31" s="11">
        <v>3.1854344555116498E-5</v>
      </c>
      <c r="E31" s="4">
        <v>0</v>
      </c>
      <c r="F31" s="12">
        <v>1.9667154748253701E-14</v>
      </c>
      <c r="G31" s="12">
        <v>3.5657581780868199E-17</v>
      </c>
      <c r="H31" s="4" t="s">
        <v>271</v>
      </c>
      <c r="I31" s="4">
        <v>60</v>
      </c>
      <c r="J31" s="4">
        <v>0</v>
      </c>
      <c r="K31" s="4">
        <f t="shared" si="0"/>
        <v>0</v>
      </c>
      <c r="N31" t="s">
        <v>304</v>
      </c>
      <c r="O31" s="5">
        <f>O29/$F$26</f>
        <v>3.2552687992320362E-2</v>
      </c>
      <c r="V31" s="1" t="s">
        <v>262</v>
      </c>
      <c r="W31">
        <v>56</v>
      </c>
    </row>
    <row r="32" spans="1:23" x14ac:dyDescent="0.25">
      <c r="A32" s="4" t="s">
        <v>137</v>
      </c>
      <c r="B32" s="4" t="s">
        <v>242</v>
      </c>
      <c r="C32" s="4">
        <v>0</v>
      </c>
      <c r="D32" s="11">
        <v>4.8771722930011203E-4</v>
      </c>
      <c r="E32" s="4">
        <v>0</v>
      </c>
      <c r="F32" s="12">
        <v>3.9780396404284598E-13</v>
      </c>
      <c r="G32" s="12">
        <v>4.5791703187811304E-16</v>
      </c>
      <c r="H32" s="4" t="s">
        <v>270</v>
      </c>
      <c r="I32" s="4">
        <v>74</v>
      </c>
      <c r="J32" s="4">
        <v>0</v>
      </c>
      <c r="K32" s="4">
        <f t="shared" si="0"/>
        <v>0</v>
      </c>
      <c r="N32" t="s">
        <v>301</v>
      </c>
      <c r="O32" s="5">
        <f>O28/$F$506</f>
        <v>5.3933247998961938E-2</v>
      </c>
      <c r="V32" s="1" t="s">
        <v>263</v>
      </c>
      <c r="W32">
        <v>40</v>
      </c>
    </row>
    <row r="33" spans="1:23" x14ac:dyDescent="0.25">
      <c r="A33" s="4" t="s">
        <v>136</v>
      </c>
      <c r="B33" s="4" t="s">
        <v>242</v>
      </c>
      <c r="C33" s="4">
        <v>0</v>
      </c>
      <c r="D33" s="11">
        <v>3.4257472211375199E-4</v>
      </c>
      <c r="E33" s="4">
        <v>0</v>
      </c>
      <c r="F33" s="12">
        <v>1.90330653561422E-10</v>
      </c>
      <c r="G33" s="12">
        <v>1.78104780483242E-14</v>
      </c>
      <c r="H33" s="4" t="s">
        <v>269</v>
      </c>
      <c r="I33" s="4">
        <v>88</v>
      </c>
      <c r="J33" s="4">
        <v>0</v>
      </c>
      <c r="K33" s="4">
        <f t="shared" si="0"/>
        <v>0</v>
      </c>
      <c r="N33" t="s">
        <v>302</v>
      </c>
      <c r="O33" s="5">
        <f>O29/$F$506</f>
        <v>1.2228198988788133</v>
      </c>
      <c r="V33" s="1" t="s">
        <v>290</v>
      </c>
      <c r="W33">
        <v>31</v>
      </c>
    </row>
    <row r="34" spans="1:23" x14ac:dyDescent="0.25">
      <c r="A34" s="4" t="s">
        <v>135</v>
      </c>
      <c r="B34" s="4" t="s">
        <v>242</v>
      </c>
      <c r="C34" s="4">
        <v>0</v>
      </c>
      <c r="D34" s="11">
        <v>8.3981533704488602E-10</v>
      </c>
      <c r="E34" s="4">
        <v>0</v>
      </c>
      <c r="F34" s="12">
        <v>7.9156773262728702E-15</v>
      </c>
      <c r="G34" s="12">
        <v>4.0816293183969598E-18</v>
      </c>
      <c r="H34" s="4" t="s">
        <v>268</v>
      </c>
      <c r="I34" s="4">
        <v>102</v>
      </c>
      <c r="J34" s="4">
        <v>0</v>
      </c>
      <c r="K34" s="4">
        <f t="shared" si="0"/>
        <v>0</v>
      </c>
      <c r="N34" t="s">
        <v>330</v>
      </c>
      <c r="O34">
        <f>-LOG(O38)</f>
        <v>12.341695837373958</v>
      </c>
      <c r="P34" s="5">
        <f>14-(-LOG(P38))</f>
        <v>12.819612969040593</v>
      </c>
      <c r="V34" s="1" t="s">
        <v>151</v>
      </c>
      <c r="W34">
        <v>39</v>
      </c>
    </row>
    <row r="35" spans="1:23" x14ac:dyDescent="0.25">
      <c r="A35" s="10" t="s">
        <v>134</v>
      </c>
      <c r="B35" s="10" t="s">
        <v>242</v>
      </c>
      <c r="C35" s="10">
        <v>0</v>
      </c>
      <c r="D35" s="10">
        <v>0</v>
      </c>
      <c r="E35" s="16">
        <v>0</v>
      </c>
      <c r="F35" s="15">
        <v>8.0270660327562796E-15</v>
      </c>
      <c r="G35" s="15">
        <v>0</v>
      </c>
      <c r="H35" s="10" t="s">
        <v>134</v>
      </c>
      <c r="I35" s="10">
        <v>1</v>
      </c>
      <c r="J35" s="10">
        <v>0</v>
      </c>
      <c r="K35" s="10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0" t="s">
        <v>133</v>
      </c>
      <c r="B36" s="10" t="s">
        <v>242</v>
      </c>
      <c r="C36" s="16">
        <v>0</v>
      </c>
      <c r="D36" s="10">
        <v>0</v>
      </c>
      <c r="E36" s="16">
        <v>0</v>
      </c>
      <c r="F36" s="15">
        <v>1.1637659386684301E-3</v>
      </c>
      <c r="G36" s="15">
        <v>0</v>
      </c>
      <c r="H36" s="10" t="s">
        <v>133</v>
      </c>
      <c r="I36" s="10">
        <v>17</v>
      </c>
      <c r="J36" s="10">
        <v>0</v>
      </c>
      <c r="K36" s="10">
        <f t="shared" si="0"/>
        <v>0</v>
      </c>
      <c r="N36" t="s">
        <v>328</v>
      </c>
      <c r="O36" s="5">
        <f>F35</f>
        <v>8.0270660327562796E-15</v>
      </c>
      <c r="P36" s="5">
        <f>F36</f>
        <v>1.1637659386684301E-3</v>
      </c>
    </row>
    <row r="37" spans="1:23" x14ac:dyDescent="0.25">
      <c r="A37" s="10" t="s">
        <v>132</v>
      </c>
      <c r="B37" s="10" t="s">
        <v>242</v>
      </c>
      <c r="C37" s="16">
        <v>5.8905789622115401E-5</v>
      </c>
      <c r="D37" s="16">
        <v>1.06922258483866E-4</v>
      </c>
      <c r="E37" s="16">
        <v>0</v>
      </c>
      <c r="F37" s="15">
        <v>2.6135459051748501E-2</v>
      </c>
      <c r="G37" s="15">
        <v>1.1086893085867501E-3</v>
      </c>
      <c r="H37" s="10" t="s">
        <v>247</v>
      </c>
      <c r="I37" s="10">
        <v>17</v>
      </c>
      <c r="J37" s="10">
        <f>$W$26/I37</f>
        <v>0.82352941176470584</v>
      </c>
      <c r="K37" s="15">
        <f>F37*J37</f>
        <v>2.1523319219087001E-2</v>
      </c>
      <c r="N37" t="s">
        <v>25</v>
      </c>
      <c r="O37" s="5">
        <f>$F$506</f>
        <v>1.7630014641930699E-2</v>
      </c>
      <c r="P37" s="5">
        <f>$F$506</f>
        <v>1.7630014641930699E-2</v>
      </c>
    </row>
    <row r="38" spans="1:23" x14ac:dyDescent="0.25">
      <c r="A38" s="10" t="s">
        <v>131</v>
      </c>
      <c r="B38" s="10" t="s">
        <v>242</v>
      </c>
      <c r="C38" s="10">
        <v>0</v>
      </c>
      <c r="D38" s="10">
        <v>0</v>
      </c>
      <c r="E38" s="16">
        <v>0</v>
      </c>
      <c r="F38" s="15">
        <v>5.5940443109653903E-15</v>
      </c>
      <c r="G38" s="15">
        <v>0</v>
      </c>
      <c r="H38" s="10" t="s">
        <v>131</v>
      </c>
      <c r="I38" s="10">
        <v>18</v>
      </c>
      <c r="J38" s="10">
        <f>$W$26/I38</f>
        <v>0.77777777777777779</v>
      </c>
      <c r="K38" s="15">
        <f t="shared" ref="K38:K86" si="1">F38*J38</f>
        <v>4.3509233529730814E-15</v>
      </c>
      <c r="N38" t="s">
        <v>329</v>
      </c>
      <c r="O38" s="2">
        <f>O36/O37</f>
        <v>4.5530682735027043E-13</v>
      </c>
      <c r="P38">
        <f>P36/P37</f>
        <v>6.6010491897185608E-2</v>
      </c>
      <c r="Q38">
        <f>P38*O38</f>
        <v>3.0055027637538311E-14</v>
      </c>
    </row>
    <row r="39" spans="1:23" x14ac:dyDescent="0.25">
      <c r="A39" s="10" t="s">
        <v>130</v>
      </c>
      <c r="B39" s="10" t="s">
        <v>242</v>
      </c>
      <c r="C39" s="10">
        <v>0</v>
      </c>
      <c r="D39" s="16">
        <v>1.2898536702890099E-3</v>
      </c>
      <c r="E39" s="16">
        <v>0</v>
      </c>
      <c r="F39" s="15">
        <v>6.5338637182302695E-4</v>
      </c>
      <c r="G39" s="15">
        <v>8.8532004324568404E-4</v>
      </c>
      <c r="H39" s="10" t="s">
        <v>130</v>
      </c>
      <c r="I39" s="10">
        <v>14</v>
      </c>
      <c r="J39" s="10">
        <v>0</v>
      </c>
      <c r="K39" s="15">
        <f t="shared" si="1"/>
        <v>0</v>
      </c>
    </row>
    <row r="40" spans="1:23" x14ac:dyDescent="0.25">
      <c r="A40" s="4" t="s">
        <v>129</v>
      </c>
      <c r="B40" s="4" t="s">
        <v>242</v>
      </c>
      <c r="C40" s="4">
        <v>0</v>
      </c>
      <c r="D40" s="11">
        <v>1.68958707071353E-4</v>
      </c>
      <c r="E40" s="11">
        <v>0</v>
      </c>
      <c r="F40" s="12">
        <v>1.6895925185206101E-4</v>
      </c>
      <c r="G40" s="12">
        <v>2.92421245727879E-9</v>
      </c>
      <c r="H40" s="4" t="s">
        <v>129</v>
      </c>
      <c r="I40" s="4">
        <v>113</v>
      </c>
      <c r="J40" s="4">
        <f>$W$26/I40</f>
        <v>0.12389380530973451</v>
      </c>
      <c r="K40" s="12">
        <f t="shared" si="1"/>
        <v>2.0933004654237646E-5</v>
      </c>
    </row>
    <row r="41" spans="1:23" x14ac:dyDescent="0.25">
      <c r="A41" s="4" t="s">
        <v>128</v>
      </c>
      <c r="B41" s="4" t="s">
        <v>242</v>
      </c>
      <c r="C41" s="11">
        <v>0</v>
      </c>
      <c r="D41" s="11">
        <v>3.49021736473806E-6</v>
      </c>
      <c r="E41" s="11">
        <v>0</v>
      </c>
      <c r="F41" s="12">
        <v>5.4122224655417697E-14</v>
      </c>
      <c r="G41" s="12">
        <v>1.92505761025934E-22</v>
      </c>
      <c r="H41" s="4" t="s">
        <v>267</v>
      </c>
      <c r="I41" s="4">
        <v>174</v>
      </c>
      <c r="J41" s="4">
        <f>$W$26*4/I41</f>
        <v>0.32183908045977011</v>
      </c>
      <c r="K41" s="12">
        <f t="shared" si="1"/>
        <v>1.741864701553673E-14</v>
      </c>
    </row>
    <row r="42" spans="1:23" x14ac:dyDescent="0.25">
      <c r="A42" s="4" t="s">
        <v>127</v>
      </c>
      <c r="B42" s="4" t="s">
        <v>242</v>
      </c>
      <c r="C42" s="11">
        <v>0</v>
      </c>
      <c r="D42" s="11">
        <v>2.8423772853832601E-22</v>
      </c>
      <c r="E42" s="11">
        <v>0</v>
      </c>
      <c r="F42" s="12">
        <v>0</v>
      </c>
      <c r="G42" s="12">
        <v>0</v>
      </c>
      <c r="H42" s="4" t="s">
        <v>288</v>
      </c>
      <c r="I42" s="4">
        <v>155</v>
      </c>
      <c r="J42" s="4">
        <f>$W$26*3/I42</f>
        <v>0.2709677419354839</v>
      </c>
      <c r="K42" s="12">
        <f t="shared" si="1"/>
        <v>0</v>
      </c>
    </row>
    <row r="43" spans="1:23" x14ac:dyDescent="0.25">
      <c r="A43" s="4" t="s">
        <v>126</v>
      </c>
      <c r="B43" s="4" t="s">
        <v>242</v>
      </c>
      <c r="C43" s="4">
        <v>0</v>
      </c>
      <c r="D43" s="11">
        <v>5.1052124603758704E-22</v>
      </c>
      <c r="E43" s="4">
        <v>0</v>
      </c>
      <c r="F43" s="12">
        <v>5.2631880110024602E-12</v>
      </c>
      <c r="G43" s="12">
        <v>1.86794664689158E-20</v>
      </c>
      <c r="H43" s="4" t="s">
        <v>208</v>
      </c>
      <c r="I43" s="4">
        <v>146</v>
      </c>
      <c r="J43" s="4">
        <f>$W$26*2/I43</f>
        <v>0.19178082191780821</v>
      </c>
      <c r="K43" s="12">
        <f>F43*J43</f>
        <v>1.009378522658006E-12</v>
      </c>
    </row>
    <row r="44" spans="1:23" x14ac:dyDescent="0.25">
      <c r="A44" s="4" t="s">
        <v>125</v>
      </c>
      <c r="B44" s="4" t="s">
        <v>242</v>
      </c>
      <c r="C44" s="11">
        <v>0</v>
      </c>
      <c r="D44" s="11">
        <v>2.4735418900720401E-21</v>
      </c>
      <c r="E44" s="11">
        <v>0</v>
      </c>
      <c r="F44" s="12">
        <v>7.2345352833462101E-12</v>
      </c>
      <c r="G44" s="12">
        <v>1.01571275318186E-92</v>
      </c>
      <c r="H44" s="4" t="s">
        <v>207</v>
      </c>
      <c r="I44" s="4">
        <v>181</v>
      </c>
      <c r="J44" s="4">
        <f>$W$26/I44</f>
        <v>7.7348066298342538E-2</v>
      </c>
      <c r="K44" s="12">
        <f t="shared" si="1"/>
        <v>5.5957731473396097E-13</v>
      </c>
    </row>
    <row r="45" spans="1:23" x14ac:dyDescent="0.25">
      <c r="A45" s="4" t="s">
        <v>124</v>
      </c>
      <c r="B45" s="4" t="s">
        <v>242</v>
      </c>
      <c r="C45" s="11">
        <v>0</v>
      </c>
      <c r="D45" s="11">
        <v>2.52560464346365E-23</v>
      </c>
      <c r="E45" s="11">
        <v>0</v>
      </c>
      <c r="F45" s="12">
        <v>5.2584109510737299E-12</v>
      </c>
      <c r="G45" s="12">
        <v>7.3826926751905302E-93</v>
      </c>
      <c r="H45" s="4" t="s">
        <v>206</v>
      </c>
      <c r="I45" s="4">
        <v>204</v>
      </c>
      <c r="J45" s="4">
        <f>$W$26*2/I45</f>
        <v>0.13725490196078433</v>
      </c>
      <c r="K45" s="12">
        <f t="shared" si="1"/>
        <v>7.2174267955913948E-13</v>
      </c>
    </row>
    <row r="46" spans="1:23" x14ac:dyDescent="0.25">
      <c r="A46" s="4" t="s">
        <v>123</v>
      </c>
      <c r="B46" s="4" t="s">
        <v>242</v>
      </c>
      <c r="C46" s="11">
        <v>0</v>
      </c>
      <c r="D46" s="11">
        <v>2.7923523012015898E-6</v>
      </c>
      <c r="E46" s="11">
        <v>0</v>
      </c>
      <c r="F46" s="12">
        <v>4.3002766363861999E-11</v>
      </c>
      <c r="G46" s="12">
        <v>4.05373363048032E-19</v>
      </c>
      <c r="H46" s="4" t="s">
        <v>205</v>
      </c>
      <c r="I46" s="4">
        <v>165</v>
      </c>
      <c r="J46" s="4">
        <f t="shared" ref="J46:J58" si="2">$W$26/I46</f>
        <v>8.4848484848484854E-2</v>
      </c>
      <c r="K46" s="12">
        <f t="shared" si="1"/>
        <v>3.6487195702670785E-12</v>
      </c>
    </row>
    <row r="47" spans="1:23" x14ac:dyDescent="0.25">
      <c r="A47" s="4" t="s">
        <v>122</v>
      </c>
      <c r="B47" s="4" t="s">
        <v>242</v>
      </c>
      <c r="C47" s="11">
        <v>0</v>
      </c>
      <c r="D47" s="11">
        <v>5.1968779516798002E-6</v>
      </c>
      <c r="E47" s="11">
        <v>0</v>
      </c>
      <c r="F47" s="12">
        <v>5.1968779514125503E-6</v>
      </c>
      <c r="G47" s="12">
        <v>4.5764881548544801E-16</v>
      </c>
      <c r="H47" s="4" t="s">
        <v>266</v>
      </c>
      <c r="I47" s="4">
        <v>121</v>
      </c>
      <c r="J47" s="4">
        <f t="shared" si="2"/>
        <v>0.11570247933884298</v>
      </c>
      <c r="K47" s="12">
        <f t="shared" si="1"/>
        <v>6.0129166379979922E-7</v>
      </c>
    </row>
    <row r="48" spans="1:23" x14ac:dyDescent="0.25">
      <c r="A48" s="4" t="s">
        <v>121</v>
      </c>
      <c r="B48" s="4" t="s">
        <v>242</v>
      </c>
      <c r="C48" s="11">
        <v>0</v>
      </c>
      <c r="D48" s="11">
        <v>1.0626809577386E-20</v>
      </c>
      <c r="E48" s="11">
        <v>0</v>
      </c>
      <c r="F48" s="12">
        <v>5.2265477650050201E-12</v>
      </c>
      <c r="G48" s="12">
        <v>7.3379574666671701E-93</v>
      </c>
      <c r="H48" s="4" t="s">
        <v>203</v>
      </c>
      <c r="I48" s="4">
        <v>149</v>
      </c>
      <c r="J48" s="4">
        <f t="shared" si="2"/>
        <v>9.3959731543624164E-2</v>
      </c>
      <c r="K48" s="12">
        <f t="shared" si="1"/>
        <v>4.9108502489980051E-13</v>
      </c>
    </row>
    <row r="49" spans="1:11" x14ac:dyDescent="0.25">
      <c r="A49" s="4" t="s">
        <v>120</v>
      </c>
      <c r="B49" s="4" t="s">
        <v>242</v>
      </c>
      <c r="C49" s="11">
        <v>0</v>
      </c>
      <c r="D49" s="11">
        <v>3.6453381519620402E-6</v>
      </c>
      <c r="E49" s="11">
        <v>0</v>
      </c>
      <c r="F49" s="12">
        <v>5.3033128871002403E-12</v>
      </c>
      <c r="G49" s="12">
        <v>7.4457340002769699E-93</v>
      </c>
      <c r="H49" s="4" t="s">
        <v>202</v>
      </c>
      <c r="I49" s="4">
        <v>119</v>
      </c>
      <c r="J49" s="4">
        <f t="shared" si="2"/>
        <v>0.11764705882352941</v>
      </c>
      <c r="K49" s="12">
        <f t="shared" si="1"/>
        <v>6.239191631882636E-13</v>
      </c>
    </row>
    <row r="50" spans="1:11" x14ac:dyDescent="0.25">
      <c r="A50" s="4" t="s">
        <v>119</v>
      </c>
      <c r="B50" s="4" t="s">
        <v>242</v>
      </c>
      <c r="C50" s="11">
        <v>0</v>
      </c>
      <c r="D50" s="11">
        <v>1.33412389221332E-5</v>
      </c>
      <c r="E50" s="11">
        <v>0</v>
      </c>
      <c r="F50" s="12">
        <v>2.1128255606389899E-14</v>
      </c>
      <c r="G50" s="12">
        <v>2.9663603578377E-95</v>
      </c>
      <c r="H50" s="4" t="s">
        <v>201</v>
      </c>
      <c r="I50" s="4">
        <v>105</v>
      </c>
      <c r="J50" s="4">
        <f t="shared" si="2"/>
        <v>0.13333333333333333</v>
      </c>
      <c r="K50" s="12">
        <f t="shared" si="1"/>
        <v>2.8171007475186532E-15</v>
      </c>
    </row>
    <row r="51" spans="1:11" x14ac:dyDescent="0.25">
      <c r="A51" s="4" t="s">
        <v>118</v>
      </c>
      <c r="B51" s="4" t="s">
        <v>242</v>
      </c>
      <c r="C51" s="11">
        <v>0</v>
      </c>
      <c r="D51" s="11">
        <v>5.4295739799379003E-6</v>
      </c>
      <c r="E51" s="11">
        <v>0</v>
      </c>
      <c r="F51" s="12">
        <v>5.4295739795658496E-6</v>
      </c>
      <c r="G51" s="12">
        <v>7.6230017815859001E-87</v>
      </c>
      <c r="H51" s="4" t="s">
        <v>200</v>
      </c>
      <c r="I51" s="4">
        <v>131</v>
      </c>
      <c r="J51" s="4">
        <f t="shared" si="2"/>
        <v>0.10687022900763359</v>
      </c>
      <c r="K51" s="12">
        <f t="shared" si="1"/>
        <v>5.8025981461009083E-7</v>
      </c>
    </row>
    <row r="52" spans="1:11" x14ac:dyDescent="0.25">
      <c r="A52" s="4" t="s">
        <v>117</v>
      </c>
      <c r="B52" s="4" t="s">
        <v>242</v>
      </c>
      <c r="C52" s="11">
        <v>0</v>
      </c>
      <c r="D52" s="11">
        <v>3.5680057582449102E-6</v>
      </c>
      <c r="E52" s="11">
        <v>0</v>
      </c>
      <c r="F52" s="12">
        <v>9.6747858607654796E-14</v>
      </c>
      <c r="G52" s="12">
        <v>1.3583185371566601E-94</v>
      </c>
      <c r="H52" s="4" t="s">
        <v>200</v>
      </c>
      <c r="I52" s="4">
        <v>131</v>
      </c>
      <c r="J52" s="4">
        <f t="shared" si="2"/>
        <v>0.10687022900763359</v>
      </c>
      <c r="K52" s="12">
        <f t="shared" si="1"/>
        <v>1.0339465805398222E-14</v>
      </c>
    </row>
    <row r="53" spans="1:11" x14ac:dyDescent="0.25">
      <c r="A53" s="4" t="s">
        <v>116</v>
      </c>
      <c r="B53" s="4" t="s">
        <v>242</v>
      </c>
      <c r="C53" s="11">
        <v>0</v>
      </c>
      <c r="D53" s="11">
        <v>5.7398353502200602E-6</v>
      </c>
      <c r="E53" s="11">
        <v>0</v>
      </c>
      <c r="F53" s="12">
        <v>2.0879903836858699E-14</v>
      </c>
      <c r="G53" s="12">
        <v>2.9314923186743799E-95</v>
      </c>
      <c r="H53" s="4" t="s">
        <v>198</v>
      </c>
      <c r="I53" s="4">
        <v>117</v>
      </c>
      <c r="J53" s="4">
        <f t="shared" si="2"/>
        <v>0.11965811965811966</v>
      </c>
      <c r="K53" s="12">
        <f t="shared" si="1"/>
        <v>2.4984500317608703E-15</v>
      </c>
    </row>
    <row r="54" spans="1:11" x14ac:dyDescent="0.25">
      <c r="A54" s="4" t="s">
        <v>115</v>
      </c>
      <c r="B54" s="4" t="s">
        <v>242</v>
      </c>
      <c r="C54" s="4">
        <v>0</v>
      </c>
      <c r="D54" s="11">
        <v>5.7394685405432603E-6</v>
      </c>
      <c r="E54" s="4">
        <v>0</v>
      </c>
      <c r="F54" s="12">
        <v>9.9568694715360798E-14</v>
      </c>
      <c r="G54" s="12">
        <v>5.6947671826894795E-22</v>
      </c>
      <c r="H54" s="4" t="s">
        <v>197</v>
      </c>
      <c r="I54" s="4">
        <v>147</v>
      </c>
      <c r="J54" s="4">
        <f t="shared" si="2"/>
        <v>9.5238095238095233E-2</v>
      </c>
      <c r="K54" s="12">
        <f t="shared" si="1"/>
        <v>9.4827328300343609E-15</v>
      </c>
    </row>
    <row r="55" spans="1:11" x14ac:dyDescent="0.25">
      <c r="A55" s="4" t="s">
        <v>114</v>
      </c>
      <c r="B55" s="4" t="s">
        <v>242</v>
      </c>
      <c r="C55" s="4">
        <v>0</v>
      </c>
      <c r="D55" s="11">
        <v>3.7231364433859901E-6</v>
      </c>
      <c r="E55" s="4">
        <v>0</v>
      </c>
      <c r="F55" s="12">
        <v>2.6291311863812401E-11</v>
      </c>
      <c r="G55" s="12">
        <v>3.6912420372638203E-92</v>
      </c>
      <c r="H55" s="4" t="s">
        <v>196</v>
      </c>
      <c r="I55" s="4">
        <v>133</v>
      </c>
      <c r="J55" s="4">
        <f t="shared" si="2"/>
        <v>0.10526315789473684</v>
      </c>
      <c r="K55" s="12">
        <f t="shared" si="1"/>
        <v>2.7675065119802525E-12</v>
      </c>
    </row>
    <row r="56" spans="1:11" x14ac:dyDescent="0.25">
      <c r="A56" s="4" t="s">
        <v>113</v>
      </c>
      <c r="B56" s="4" t="s">
        <v>242</v>
      </c>
      <c r="C56" s="4">
        <v>0</v>
      </c>
      <c r="D56" s="11">
        <v>1.9390096550951102E-5</v>
      </c>
      <c r="E56" s="11">
        <v>0</v>
      </c>
      <c r="F56" s="12">
        <v>1.9390096548625701E-5</v>
      </c>
      <c r="G56" s="12">
        <v>1.7071165150197301E-15</v>
      </c>
      <c r="H56" s="4" t="s">
        <v>265</v>
      </c>
      <c r="I56" s="4">
        <v>75</v>
      </c>
      <c r="J56" s="4">
        <f t="shared" si="2"/>
        <v>0.18666666666666668</v>
      </c>
      <c r="K56" s="12">
        <f t="shared" si="1"/>
        <v>3.6194846890767976E-6</v>
      </c>
    </row>
    <row r="57" spans="1:11" x14ac:dyDescent="0.25">
      <c r="A57" s="4" t="s">
        <v>112</v>
      </c>
      <c r="B57" s="4" t="s">
        <v>242</v>
      </c>
      <c r="C57" s="4">
        <v>0</v>
      </c>
      <c r="D57" s="11">
        <v>3.6455711008154501E-6</v>
      </c>
      <c r="E57" s="11">
        <v>0</v>
      </c>
      <c r="F57" s="12">
        <v>3.6455711005656402E-6</v>
      </c>
      <c r="G57" s="12">
        <v>5.1183011962076599E-87</v>
      </c>
      <c r="H57" s="4" t="s">
        <v>194</v>
      </c>
      <c r="I57" s="4">
        <v>89</v>
      </c>
      <c r="J57" s="4">
        <f t="shared" si="2"/>
        <v>0.15730337078651685</v>
      </c>
      <c r="K57" s="12">
        <f t="shared" si="1"/>
        <v>5.734606225608872E-7</v>
      </c>
    </row>
    <row r="58" spans="1:11" x14ac:dyDescent="0.25">
      <c r="A58" s="4" t="s">
        <v>111</v>
      </c>
      <c r="B58" s="4" t="s">
        <v>242</v>
      </c>
      <c r="C58" s="4">
        <v>0</v>
      </c>
      <c r="D58" s="11">
        <v>8.6097530244247303E-6</v>
      </c>
      <c r="E58" s="4">
        <v>0</v>
      </c>
      <c r="F58" s="12">
        <v>1.1875121969441099E-13</v>
      </c>
      <c r="G58" s="12">
        <v>1.04575007415419E-23</v>
      </c>
      <c r="H58" s="4" t="s">
        <v>264</v>
      </c>
      <c r="I58" s="4">
        <v>115</v>
      </c>
      <c r="J58" s="4">
        <f t="shared" si="2"/>
        <v>0.12173913043478261</v>
      </c>
      <c r="K58" s="12">
        <f t="shared" si="1"/>
        <v>1.4456670223667426E-14</v>
      </c>
    </row>
    <row r="59" spans="1:11" x14ac:dyDescent="0.25">
      <c r="A59" s="10" t="s">
        <v>110</v>
      </c>
      <c r="B59" s="10" t="s">
        <v>242</v>
      </c>
      <c r="C59" s="10">
        <v>0</v>
      </c>
      <c r="D59" s="16">
        <v>6.4453224849360706E-8</v>
      </c>
      <c r="E59" s="16">
        <v>0</v>
      </c>
      <c r="F59" s="15">
        <v>7.5642838067885594E-8</v>
      </c>
      <c r="G59" s="15">
        <v>1.02138951686651E-5</v>
      </c>
      <c r="H59" s="10" t="s">
        <v>192</v>
      </c>
      <c r="I59" s="10">
        <v>2</v>
      </c>
      <c r="J59" s="10">
        <v>0</v>
      </c>
      <c r="K59" s="15">
        <f t="shared" si="1"/>
        <v>0</v>
      </c>
    </row>
    <row r="60" spans="1:11" x14ac:dyDescent="0.25">
      <c r="A60" s="4" t="s">
        <v>109</v>
      </c>
      <c r="B60" s="4" t="s">
        <v>242</v>
      </c>
      <c r="C60" s="4">
        <v>0</v>
      </c>
      <c r="D60" s="11">
        <v>5.78623176845444E-4</v>
      </c>
      <c r="E60" s="11">
        <v>0</v>
      </c>
      <c r="F60" s="12">
        <v>6.6427612955408403E-4</v>
      </c>
      <c r="G60" s="12">
        <v>3.4271053391886201E-3</v>
      </c>
      <c r="H60" s="4" t="s">
        <v>191</v>
      </c>
      <c r="I60" s="4">
        <v>16</v>
      </c>
      <c r="J60" s="4">
        <v>0</v>
      </c>
      <c r="K60" s="12">
        <f t="shared" si="1"/>
        <v>0</v>
      </c>
    </row>
    <row r="61" spans="1:11" x14ac:dyDescent="0.25">
      <c r="A61" s="4" t="s">
        <v>108</v>
      </c>
      <c r="B61" s="4" t="s">
        <v>242</v>
      </c>
      <c r="C61" s="4">
        <v>0</v>
      </c>
      <c r="D61" s="11">
        <v>6.7853137677342597E-23</v>
      </c>
      <c r="E61" s="11">
        <v>0</v>
      </c>
      <c r="F61" s="12">
        <v>0</v>
      </c>
      <c r="G61" s="12">
        <v>0</v>
      </c>
      <c r="H61" s="4" t="s">
        <v>190</v>
      </c>
      <c r="I61" s="4">
        <v>117</v>
      </c>
      <c r="J61" s="4">
        <f>$W$26*7/I61</f>
        <v>0.83760683760683763</v>
      </c>
      <c r="K61" s="12">
        <f t="shared" si="1"/>
        <v>0</v>
      </c>
    </row>
    <row r="62" spans="1:11" x14ac:dyDescent="0.25">
      <c r="A62" s="4" t="s">
        <v>107</v>
      </c>
      <c r="B62" s="4" t="s">
        <v>242</v>
      </c>
      <c r="C62" s="4">
        <v>0</v>
      </c>
      <c r="D62" s="11">
        <v>3.5663022581591098E-22</v>
      </c>
      <c r="E62" s="4">
        <v>0</v>
      </c>
      <c r="F62" s="12">
        <v>0</v>
      </c>
      <c r="G62" s="12">
        <v>0</v>
      </c>
      <c r="H62" s="4" t="s">
        <v>189</v>
      </c>
      <c r="I62" s="4">
        <v>45</v>
      </c>
      <c r="J62" s="4">
        <f>$W$26/I62</f>
        <v>0.31111111111111112</v>
      </c>
      <c r="K62" s="12">
        <f t="shared" si="1"/>
        <v>0</v>
      </c>
    </row>
    <row r="63" spans="1:11" x14ac:dyDescent="0.25">
      <c r="A63" s="10" t="s">
        <v>106</v>
      </c>
      <c r="B63" s="10" t="s">
        <v>242</v>
      </c>
      <c r="C63" s="10">
        <v>0</v>
      </c>
      <c r="D63" s="16">
        <v>5.57737619925133E-5</v>
      </c>
      <c r="E63" s="10">
        <v>0</v>
      </c>
      <c r="F63" s="15">
        <v>2.48975021084547E-10</v>
      </c>
      <c r="G63" s="15">
        <v>7.2063429740885502E-11</v>
      </c>
      <c r="H63" s="10" t="s">
        <v>106</v>
      </c>
      <c r="I63" s="10">
        <v>34</v>
      </c>
      <c r="J63" s="10">
        <v>0</v>
      </c>
      <c r="K63" s="15">
        <f t="shared" si="1"/>
        <v>0</v>
      </c>
    </row>
    <row r="64" spans="1:11" x14ac:dyDescent="0.25">
      <c r="A64" s="4" t="s">
        <v>105</v>
      </c>
      <c r="B64" s="4" t="s">
        <v>242</v>
      </c>
      <c r="C64" s="4">
        <v>0</v>
      </c>
      <c r="D64" s="11">
        <v>1.7151798190220998E-21</v>
      </c>
      <c r="E64" s="4">
        <v>0</v>
      </c>
      <c r="F64" s="12">
        <v>0</v>
      </c>
      <c r="G64" s="12">
        <v>0</v>
      </c>
      <c r="H64" s="4" t="s">
        <v>105</v>
      </c>
      <c r="I64" s="4">
        <v>48</v>
      </c>
      <c r="J64" s="4">
        <v>0</v>
      </c>
      <c r="K64" s="12">
        <f t="shared" si="1"/>
        <v>0</v>
      </c>
    </row>
    <row r="65" spans="1:11" x14ac:dyDescent="0.25">
      <c r="A65" s="4" t="s">
        <v>104</v>
      </c>
      <c r="B65" s="4" t="s">
        <v>242</v>
      </c>
      <c r="C65" s="4">
        <v>0</v>
      </c>
      <c r="D65" s="11">
        <v>2.0061424167471799E-11</v>
      </c>
      <c r="E65" s="4">
        <v>0</v>
      </c>
      <c r="F65" s="12">
        <v>1.23119978018979E-10</v>
      </c>
      <c r="G65" s="12">
        <v>5.5331926944759398E-11</v>
      </c>
      <c r="H65" s="4" t="s">
        <v>188</v>
      </c>
      <c r="I65" s="4">
        <v>78</v>
      </c>
      <c r="J65" s="4">
        <v>0</v>
      </c>
      <c r="K65" s="12">
        <f t="shared" si="1"/>
        <v>0</v>
      </c>
    </row>
    <row r="66" spans="1:11" x14ac:dyDescent="0.25">
      <c r="A66" s="4" t="s">
        <v>103</v>
      </c>
      <c r="B66" s="4" t="s">
        <v>242</v>
      </c>
      <c r="C66" s="4">
        <v>0</v>
      </c>
      <c r="D66" s="11">
        <v>3.3323213762525902E-19</v>
      </c>
      <c r="E66" s="11">
        <v>0</v>
      </c>
      <c r="F66" s="12">
        <v>0</v>
      </c>
      <c r="G66" s="12">
        <v>0</v>
      </c>
      <c r="H66" s="4" t="s">
        <v>187</v>
      </c>
      <c r="I66" s="4">
        <v>94</v>
      </c>
      <c r="J66" s="4">
        <v>0</v>
      </c>
      <c r="K66" s="12">
        <f t="shared" si="1"/>
        <v>0</v>
      </c>
    </row>
    <row r="67" spans="1:11" x14ac:dyDescent="0.25">
      <c r="A67" s="4" t="s">
        <v>102</v>
      </c>
      <c r="B67" s="4" t="s">
        <v>242</v>
      </c>
      <c r="C67" s="4">
        <v>0</v>
      </c>
      <c r="D67" s="4">
        <v>0</v>
      </c>
      <c r="E67" s="11">
        <v>0</v>
      </c>
      <c r="F67" s="12">
        <v>7.7173063964083304E-13</v>
      </c>
      <c r="G67" s="12">
        <v>7.3263546002866501E-20</v>
      </c>
      <c r="H67" s="4" t="s">
        <v>102</v>
      </c>
      <c r="I67" s="4">
        <v>62</v>
      </c>
      <c r="J67" s="4">
        <v>0</v>
      </c>
      <c r="K67" s="12">
        <f t="shared" si="1"/>
        <v>0</v>
      </c>
    </row>
    <row r="68" spans="1:11" x14ac:dyDescent="0.25">
      <c r="A68" s="4" t="s">
        <v>101</v>
      </c>
      <c r="B68" s="4" t="s">
        <v>242</v>
      </c>
      <c r="C68" s="4">
        <v>0</v>
      </c>
      <c r="D68" s="4">
        <v>0</v>
      </c>
      <c r="E68" s="4">
        <v>0</v>
      </c>
      <c r="F68" s="12">
        <v>1.7124687078822101E-2</v>
      </c>
      <c r="G68" s="12">
        <v>0</v>
      </c>
      <c r="H68" s="4" t="s">
        <v>101</v>
      </c>
      <c r="I68" s="4">
        <v>61</v>
      </c>
      <c r="J68" s="4">
        <v>0</v>
      </c>
      <c r="K68" s="12">
        <f t="shared" si="1"/>
        <v>0</v>
      </c>
    </row>
    <row r="69" spans="1:11" x14ac:dyDescent="0.25">
      <c r="A69" s="4" t="s">
        <v>100</v>
      </c>
      <c r="B69" s="4" t="s">
        <v>242</v>
      </c>
      <c r="C69" s="11">
        <v>0</v>
      </c>
      <c r="D69" s="11">
        <v>0</v>
      </c>
      <c r="E69" s="11">
        <v>0</v>
      </c>
      <c r="F69" s="12">
        <v>7.1455032372172997E-3</v>
      </c>
      <c r="G69" s="12">
        <v>0</v>
      </c>
      <c r="H69" s="4" t="s">
        <v>272</v>
      </c>
      <c r="I69" s="4">
        <v>60</v>
      </c>
      <c r="J69" s="4">
        <v>0</v>
      </c>
      <c r="K69" s="12">
        <f t="shared" si="1"/>
        <v>0</v>
      </c>
    </row>
    <row r="70" spans="1:11" x14ac:dyDescent="0.25">
      <c r="A70" s="10" t="s">
        <v>99</v>
      </c>
      <c r="B70" s="10" t="s">
        <v>242</v>
      </c>
      <c r="C70" s="16">
        <v>0</v>
      </c>
      <c r="D70" s="16">
        <v>0</v>
      </c>
      <c r="E70" s="16">
        <v>0</v>
      </c>
      <c r="F70" s="15">
        <v>3.2949339436926599E-3</v>
      </c>
      <c r="G70" s="15">
        <v>0</v>
      </c>
      <c r="H70" s="10" t="s">
        <v>99</v>
      </c>
      <c r="I70" s="10">
        <v>33</v>
      </c>
      <c r="J70" s="10">
        <v>0</v>
      </c>
      <c r="K70" s="15">
        <f t="shared" si="1"/>
        <v>0</v>
      </c>
    </row>
    <row r="71" spans="1:11" x14ac:dyDescent="0.25">
      <c r="A71" s="4" t="s">
        <v>98</v>
      </c>
      <c r="B71" s="4" t="s">
        <v>242</v>
      </c>
      <c r="C71" s="11">
        <v>1.3611717932389201E-3</v>
      </c>
      <c r="D71" s="11">
        <v>4.0835153797167198E-4</v>
      </c>
      <c r="E71" s="11">
        <v>0</v>
      </c>
      <c r="F71" s="12">
        <v>4.0835153797166499E-4</v>
      </c>
      <c r="G71" s="12">
        <v>5.73316527813523E-85</v>
      </c>
      <c r="H71" s="4" t="s">
        <v>219</v>
      </c>
      <c r="I71" s="4">
        <v>162</v>
      </c>
      <c r="J71" s="4">
        <v>0</v>
      </c>
      <c r="K71" s="12">
        <f t="shared" si="1"/>
        <v>0</v>
      </c>
    </row>
    <row r="72" spans="1:11" x14ac:dyDescent="0.25">
      <c r="A72" s="4" t="s">
        <v>97</v>
      </c>
      <c r="B72" s="4" t="s">
        <v>242</v>
      </c>
      <c r="C72" s="11">
        <v>7.5933094652401998E-4</v>
      </c>
      <c r="D72" s="11">
        <v>3.0373237769577198E-4</v>
      </c>
      <c r="E72" s="4">
        <v>0</v>
      </c>
      <c r="F72" s="12">
        <v>3.0373237784491299E-4</v>
      </c>
      <c r="G72" s="12">
        <v>7.6468673657755001E-13</v>
      </c>
      <c r="H72" s="4" t="s">
        <v>186</v>
      </c>
      <c r="I72" s="4">
        <v>132</v>
      </c>
      <c r="J72" s="4">
        <v>0</v>
      </c>
      <c r="K72" s="12">
        <f t="shared" si="1"/>
        <v>0</v>
      </c>
    </row>
    <row r="73" spans="1:11" x14ac:dyDescent="0.25">
      <c r="A73" s="4" t="s">
        <v>96</v>
      </c>
      <c r="B73" s="4" t="s">
        <v>242</v>
      </c>
      <c r="C73" s="11">
        <v>0</v>
      </c>
      <c r="D73" s="11">
        <v>0</v>
      </c>
      <c r="E73" s="11">
        <v>0</v>
      </c>
      <c r="F73" s="12">
        <v>0</v>
      </c>
      <c r="G73" s="12">
        <v>0</v>
      </c>
      <c r="H73" s="4" t="s">
        <v>185</v>
      </c>
      <c r="I73" s="4">
        <v>180</v>
      </c>
      <c r="J73" s="4">
        <v>0</v>
      </c>
      <c r="K73" s="12">
        <f t="shared" si="1"/>
        <v>0</v>
      </c>
    </row>
    <row r="74" spans="1:11" x14ac:dyDescent="0.25">
      <c r="A74" s="4" t="s">
        <v>95</v>
      </c>
      <c r="B74" s="4" t="s">
        <v>242</v>
      </c>
      <c r="C74" s="11">
        <v>4.5320747187516598E-6</v>
      </c>
      <c r="D74" s="11">
        <v>4.5320747187516E-7</v>
      </c>
      <c r="E74" s="11">
        <v>0</v>
      </c>
      <c r="F74" s="12">
        <v>4.5320747187515302E-7</v>
      </c>
      <c r="G74" s="12">
        <v>3.5543101686003801E-25</v>
      </c>
      <c r="H74" s="4" t="s">
        <v>184</v>
      </c>
      <c r="I74" s="4">
        <v>884</v>
      </c>
      <c r="J74" s="4">
        <v>0</v>
      </c>
      <c r="K74" s="12">
        <f t="shared" si="1"/>
        <v>0</v>
      </c>
    </row>
    <row r="75" spans="1:11" x14ac:dyDescent="0.25">
      <c r="A75" s="4" t="s">
        <v>94</v>
      </c>
      <c r="B75" s="4" t="s">
        <v>242</v>
      </c>
      <c r="C75" s="11">
        <v>4.9756665137484201E-6</v>
      </c>
      <c r="D75" s="11">
        <v>4.9756665137483596E-7</v>
      </c>
      <c r="E75" s="4">
        <v>0</v>
      </c>
      <c r="F75" s="12">
        <v>4.9756665137482802E-7</v>
      </c>
      <c r="G75" s="12">
        <v>3.6238723497554302E-24</v>
      </c>
      <c r="H75" s="4" t="s">
        <v>183</v>
      </c>
      <c r="I75" s="4">
        <v>806</v>
      </c>
      <c r="J75" s="4">
        <v>0</v>
      </c>
      <c r="K75" s="12">
        <f t="shared" si="1"/>
        <v>0</v>
      </c>
    </row>
    <row r="76" spans="1:11" x14ac:dyDescent="0.25">
      <c r="A76" s="4" t="s">
        <v>93</v>
      </c>
      <c r="B76" s="4" t="s">
        <v>242</v>
      </c>
      <c r="C76" s="11">
        <v>0</v>
      </c>
      <c r="D76" s="11">
        <v>1.48413521744267E-7</v>
      </c>
      <c r="E76" s="11">
        <v>0</v>
      </c>
      <c r="F76" s="12">
        <v>1.4841352752231199E-7</v>
      </c>
      <c r="G76" s="12">
        <v>1.40588132104923E-15</v>
      </c>
      <c r="H76" s="4" t="s">
        <v>182</v>
      </c>
      <c r="I76" s="4">
        <v>242</v>
      </c>
      <c r="J76" s="4">
        <v>0</v>
      </c>
      <c r="K76" s="12">
        <f t="shared" si="1"/>
        <v>0</v>
      </c>
    </row>
    <row r="77" spans="1:11" x14ac:dyDescent="0.25">
      <c r="A77" s="4" t="s">
        <v>92</v>
      </c>
      <c r="B77" s="4" t="s">
        <v>242</v>
      </c>
      <c r="C77" s="4">
        <v>0</v>
      </c>
      <c r="D77" s="4">
        <v>0</v>
      </c>
      <c r="E77" s="4">
        <v>0</v>
      </c>
      <c r="F77" s="12">
        <v>0</v>
      </c>
      <c r="G77" s="12">
        <v>0</v>
      </c>
      <c r="H77" s="4" t="s">
        <v>273</v>
      </c>
      <c r="I77" s="4">
        <v>594</v>
      </c>
      <c r="J77" s="4">
        <v>0</v>
      </c>
      <c r="K77" s="12">
        <f t="shared" si="1"/>
        <v>0</v>
      </c>
    </row>
    <row r="78" spans="1:11" x14ac:dyDescent="0.25">
      <c r="A78" s="4" t="s">
        <v>91</v>
      </c>
      <c r="B78" s="4" t="s">
        <v>242</v>
      </c>
      <c r="C78" s="11">
        <v>6.77082015037128E-6</v>
      </c>
      <c r="D78" s="11">
        <v>6.7708201503711204E-7</v>
      </c>
      <c r="E78" s="4">
        <v>0</v>
      </c>
      <c r="F78" s="12">
        <v>6.7708201503710304E-7</v>
      </c>
      <c r="G78" s="12">
        <v>4.8067579719689197E-21</v>
      </c>
      <c r="H78" s="4" t="s">
        <v>274</v>
      </c>
      <c r="I78" s="4">
        <v>592</v>
      </c>
      <c r="J78" s="4">
        <v>0</v>
      </c>
      <c r="K78" s="12">
        <f t="shared" si="1"/>
        <v>0</v>
      </c>
    </row>
    <row r="79" spans="1:11" x14ac:dyDescent="0.25">
      <c r="A79" s="4" t="s">
        <v>90</v>
      </c>
      <c r="B79" s="4" t="s">
        <v>242</v>
      </c>
      <c r="C79" s="11">
        <v>0</v>
      </c>
      <c r="D79" s="11">
        <v>7.5933094642876604E-5</v>
      </c>
      <c r="E79" s="4">
        <v>0</v>
      </c>
      <c r="F79" s="12">
        <v>7.5933094644395504E-5</v>
      </c>
      <c r="G79" s="12">
        <v>8.0043102076177293E-15</v>
      </c>
      <c r="H79" s="4" t="s">
        <v>179</v>
      </c>
      <c r="I79" s="4">
        <v>150</v>
      </c>
      <c r="J79" s="4">
        <v>0</v>
      </c>
      <c r="K79" s="12">
        <f t="shared" si="1"/>
        <v>0</v>
      </c>
    </row>
    <row r="80" spans="1:11" x14ac:dyDescent="0.25">
      <c r="A80" s="4" t="s">
        <v>89</v>
      </c>
      <c r="B80" s="4" t="s">
        <v>242</v>
      </c>
      <c r="C80" s="4">
        <v>0</v>
      </c>
      <c r="D80" s="4">
        <v>0</v>
      </c>
      <c r="E80" s="4">
        <v>0</v>
      </c>
      <c r="F80" s="12">
        <v>0</v>
      </c>
      <c r="G80" s="12">
        <v>0</v>
      </c>
      <c r="H80" s="4" t="s">
        <v>178</v>
      </c>
      <c r="I80" s="4">
        <v>96</v>
      </c>
      <c r="J80" s="4">
        <v>0</v>
      </c>
      <c r="K80" s="12">
        <f t="shared" si="1"/>
        <v>0</v>
      </c>
    </row>
    <row r="81" spans="1:11" x14ac:dyDescent="0.25">
      <c r="A81" s="4" t="s">
        <v>88</v>
      </c>
      <c r="B81" s="4" t="s">
        <v>242</v>
      </c>
      <c r="C81" s="4">
        <v>0</v>
      </c>
      <c r="D81" s="11">
        <v>4.9709709651234799E-8</v>
      </c>
      <c r="E81" s="4">
        <v>0</v>
      </c>
      <c r="F81" s="12">
        <v>4.9709712416696899E-8</v>
      </c>
      <c r="G81" s="12">
        <v>3.22101509395113E-17</v>
      </c>
      <c r="H81" s="4" t="s">
        <v>177</v>
      </c>
      <c r="I81" s="4">
        <v>280</v>
      </c>
      <c r="J81" s="4">
        <v>0</v>
      </c>
      <c r="K81" s="12">
        <f t="shared" si="1"/>
        <v>0</v>
      </c>
    </row>
    <row r="82" spans="1:11" x14ac:dyDescent="0.25">
      <c r="A82" s="4" t="s">
        <v>87</v>
      </c>
      <c r="B82" s="4" t="s">
        <v>242</v>
      </c>
      <c r="C82" s="4">
        <v>0</v>
      </c>
      <c r="D82" s="4">
        <v>0</v>
      </c>
      <c r="E82" s="11">
        <v>0</v>
      </c>
      <c r="F82" s="12">
        <v>0</v>
      </c>
      <c r="G82" s="12">
        <v>0</v>
      </c>
      <c r="H82" s="4" t="s">
        <v>219</v>
      </c>
      <c r="I82" s="4">
        <v>162</v>
      </c>
      <c r="J82" s="4">
        <v>0</v>
      </c>
      <c r="K82" s="12">
        <f t="shared" si="1"/>
        <v>0</v>
      </c>
    </row>
    <row r="83" spans="1:11" x14ac:dyDescent="0.25">
      <c r="A83" s="4" t="s">
        <v>86</v>
      </c>
      <c r="B83" s="4" t="s">
        <v>242</v>
      </c>
      <c r="C83" s="4">
        <v>0</v>
      </c>
      <c r="D83" s="11">
        <v>1.0619051616290801E-3</v>
      </c>
      <c r="E83" s="4">
        <v>0</v>
      </c>
      <c r="F83" s="12">
        <v>1.07687741677307E-3</v>
      </c>
      <c r="G83" s="12">
        <v>1.2060017818031701E-5</v>
      </c>
      <c r="H83" s="4" t="s">
        <v>276</v>
      </c>
      <c r="I83" s="4">
        <v>62</v>
      </c>
      <c r="J83" s="4">
        <v>0</v>
      </c>
      <c r="K83" s="12">
        <f t="shared" si="1"/>
        <v>0</v>
      </c>
    </row>
    <row r="84" spans="1:11" x14ac:dyDescent="0.25">
      <c r="A84" s="4" t="s">
        <v>85</v>
      </c>
      <c r="B84" s="4" t="s">
        <v>242</v>
      </c>
      <c r="C84" s="11">
        <v>8.1911593095651702E-5</v>
      </c>
      <c r="D84" s="11">
        <v>7.2867789623144703E-6</v>
      </c>
      <c r="E84" s="4">
        <v>0</v>
      </c>
      <c r="F84" s="12">
        <v>7.9769589024237098E-6</v>
      </c>
      <c r="G84" s="12">
        <v>2.14200407141179E-7</v>
      </c>
      <c r="H84" s="4" t="s">
        <v>174</v>
      </c>
      <c r="I84" s="4">
        <v>367</v>
      </c>
      <c r="J84" s="4">
        <f>$W$26*3/I84</f>
        <v>0.11444141689373297</v>
      </c>
      <c r="K84" s="12">
        <f>F84*J84</f>
        <v>9.1289447929644635E-7</v>
      </c>
    </row>
    <row r="85" spans="1:11" x14ac:dyDescent="0.25">
      <c r="A85" s="4" t="s">
        <v>84</v>
      </c>
      <c r="B85" s="4" t="s">
        <v>242</v>
      </c>
      <c r="C85" s="11">
        <v>1.5514059912524199E-4</v>
      </c>
      <c r="D85" s="11">
        <v>2.3027261838369301E-8</v>
      </c>
      <c r="E85" s="4">
        <v>0</v>
      </c>
      <c r="F85" s="12">
        <v>5.0685110985060802E-5</v>
      </c>
      <c r="G85" s="12">
        <v>2.68851885775492E-5</v>
      </c>
      <c r="H85" s="4" t="s">
        <v>275</v>
      </c>
      <c r="I85" s="4">
        <f>W27*4.89+W28*8+W26*1+W29*2.1+W30*0.067</f>
        <v>116.42400000000001</v>
      </c>
      <c r="J85" s="4">
        <f>$W$26*1/I85</f>
        <v>0.12025012025012025</v>
      </c>
      <c r="K85" s="12">
        <f t="shared" si="1"/>
        <v>6.0948906908442519E-6</v>
      </c>
    </row>
    <row r="86" spans="1:11" x14ac:dyDescent="0.25">
      <c r="A86" s="4" t="s">
        <v>83</v>
      </c>
      <c r="B86" s="4" t="s">
        <v>242</v>
      </c>
      <c r="C86" s="4">
        <v>0</v>
      </c>
      <c r="D86" s="4">
        <v>0</v>
      </c>
      <c r="E86" s="4">
        <v>0</v>
      </c>
      <c r="F86" s="12">
        <v>3.1950238708110398E-5</v>
      </c>
      <c r="G86" s="12">
        <v>0</v>
      </c>
      <c r="H86" s="4" t="s">
        <v>172</v>
      </c>
      <c r="I86" s="4">
        <v>59</v>
      </c>
      <c r="J86" s="4">
        <v>0</v>
      </c>
      <c r="K86" s="12">
        <f t="shared" si="1"/>
        <v>0</v>
      </c>
    </row>
    <row r="87" spans="1:11" x14ac:dyDescent="0.25">
      <c r="A87" s="6" t="s">
        <v>82</v>
      </c>
      <c r="B87" s="6" t="s">
        <v>242</v>
      </c>
      <c r="C87" s="7">
        <v>1.1035184429574901E-3</v>
      </c>
      <c r="D87" s="7">
        <v>1.10351844295745E-3</v>
      </c>
      <c r="E87" s="6">
        <v>0</v>
      </c>
      <c r="F87" s="8">
        <v>1.1035184429574599E-3</v>
      </c>
      <c r="G87" s="8">
        <v>1.2065133544294201E-19</v>
      </c>
      <c r="H87" s="6" t="s">
        <v>82</v>
      </c>
      <c r="I87" s="6" t="s">
        <v>289</v>
      </c>
      <c r="J87" s="9">
        <f>0.83</f>
        <v>0.83</v>
      </c>
      <c r="K87" s="5">
        <f>F87*J87</f>
        <v>9.1592030765469173E-4</v>
      </c>
    </row>
    <row r="88" spans="1:11" x14ac:dyDescent="0.25">
      <c r="A88" s="4" t="s">
        <v>81</v>
      </c>
      <c r="B88" s="4" t="s">
        <v>242</v>
      </c>
      <c r="C88" s="4">
        <v>0</v>
      </c>
      <c r="D88" s="4">
        <v>0</v>
      </c>
      <c r="E88" s="4">
        <v>0</v>
      </c>
      <c r="F88" s="12">
        <v>4.8869083706355601E-4</v>
      </c>
      <c r="G88" s="12">
        <v>1.3512831309024399E-7</v>
      </c>
      <c r="H88" s="4" t="s">
        <v>81</v>
      </c>
      <c r="I88" s="4">
        <f>I32-1</f>
        <v>73</v>
      </c>
      <c r="J88" s="4">
        <v>0</v>
      </c>
      <c r="K88" s="12">
        <f t="shared" ref="K88:K143" si="3">F88*J88</f>
        <v>0</v>
      </c>
    </row>
    <row r="89" spans="1:11" x14ac:dyDescent="0.25">
      <c r="A89" s="4" t="s">
        <v>80</v>
      </c>
      <c r="B89" s="4" t="s">
        <v>242</v>
      </c>
      <c r="C89" s="4">
        <v>0</v>
      </c>
      <c r="D89" s="4">
        <v>0</v>
      </c>
      <c r="E89" s="4">
        <v>0</v>
      </c>
      <c r="F89" s="12">
        <v>1.25379253747089E-8</v>
      </c>
      <c r="G89" s="12">
        <v>6.5208775547597697E-13</v>
      </c>
      <c r="H89" s="4" t="s">
        <v>80</v>
      </c>
      <c r="I89" s="4">
        <f>I34-1</f>
        <v>101</v>
      </c>
      <c r="J89" s="4">
        <v>0</v>
      </c>
      <c r="K89" s="12">
        <f t="shared" si="3"/>
        <v>0</v>
      </c>
    </row>
    <row r="90" spans="1:11" x14ac:dyDescent="0.25">
      <c r="A90" s="4" t="s">
        <v>79</v>
      </c>
      <c r="B90" s="4" t="s">
        <v>242</v>
      </c>
      <c r="C90" s="4">
        <v>0</v>
      </c>
      <c r="D90" s="4">
        <v>0</v>
      </c>
      <c r="E90" s="4">
        <v>0</v>
      </c>
      <c r="F90" s="12">
        <v>3.4271222287454901E-4</v>
      </c>
      <c r="G90" s="12">
        <v>4.72230976033911E-8</v>
      </c>
      <c r="H90" s="4" t="s">
        <v>79</v>
      </c>
      <c r="I90" s="4">
        <f>I33-1</f>
        <v>87</v>
      </c>
      <c r="J90" s="4">
        <v>0</v>
      </c>
      <c r="K90" s="12">
        <f t="shared" si="3"/>
        <v>0</v>
      </c>
    </row>
    <row r="91" spans="1:11" x14ac:dyDescent="0.25">
      <c r="A91" s="4" t="s">
        <v>78</v>
      </c>
      <c r="B91" s="4" t="s">
        <v>242</v>
      </c>
      <c r="C91" s="4">
        <v>0</v>
      </c>
      <c r="D91" s="4">
        <v>0</v>
      </c>
      <c r="E91" s="4">
        <v>0</v>
      </c>
      <c r="F91" s="12">
        <v>1.1749414927152301E-7</v>
      </c>
      <c r="G91" s="12">
        <v>6.0095426460687199E-17</v>
      </c>
      <c r="H91" s="4" t="s">
        <v>78</v>
      </c>
      <c r="I91" s="4">
        <f>I29-1</f>
        <v>281</v>
      </c>
      <c r="J91" s="4">
        <v>0</v>
      </c>
      <c r="K91" s="12">
        <f t="shared" si="3"/>
        <v>0</v>
      </c>
    </row>
    <row r="92" spans="1:11" x14ac:dyDescent="0.25">
      <c r="A92" s="4" t="s">
        <v>77</v>
      </c>
      <c r="B92" s="4" t="s">
        <v>242</v>
      </c>
      <c r="C92" s="4">
        <v>0</v>
      </c>
      <c r="D92" s="4">
        <v>0</v>
      </c>
      <c r="E92" s="4">
        <v>0</v>
      </c>
      <c r="F92" s="12">
        <v>1.1075112588095201E-12</v>
      </c>
      <c r="G92" s="12">
        <v>0</v>
      </c>
      <c r="H92" s="4" t="s">
        <v>77</v>
      </c>
      <c r="I92" s="4">
        <f>I50-1</f>
        <v>104</v>
      </c>
      <c r="J92" s="4">
        <f t="shared" ref="J92:J97" si="4">$W$26/I92</f>
        <v>0.13461538461538461</v>
      </c>
      <c r="K92" s="12">
        <f t="shared" si="3"/>
        <v>1.4908805407051231E-13</v>
      </c>
    </row>
    <row r="93" spans="1:11" x14ac:dyDescent="0.25">
      <c r="A93" s="4" t="s">
        <v>76</v>
      </c>
      <c r="B93" s="4" t="s">
        <v>242</v>
      </c>
      <c r="C93" s="4">
        <v>0</v>
      </c>
      <c r="D93" s="4">
        <v>0</v>
      </c>
      <c r="E93" s="4">
        <v>0</v>
      </c>
      <c r="F93" s="12">
        <v>1.2820088833181099E-12</v>
      </c>
      <c r="G93" s="12">
        <v>1.79991211802668E-93</v>
      </c>
      <c r="H93" s="4" t="s">
        <v>277</v>
      </c>
      <c r="I93" s="4">
        <f>I53-1</f>
        <v>116</v>
      </c>
      <c r="J93" s="4">
        <f t="shared" si="4"/>
        <v>0.1206896551724138</v>
      </c>
      <c r="K93" s="12">
        <f t="shared" si="3"/>
        <v>1.5472521005563396E-13</v>
      </c>
    </row>
    <row r="94" spans="1:11" x14ac:dyDescent="0.25">
      <c r="A94" s="4" t="s">
        <v>75</v>
      </c>
      <c r="B94" s="4" t="s">
        <v>242</v>
      </c>
      <c r="C94" s="4">
        <v>0</v>
      </c>
      <c r="D94" s="4">
        <v>0</v>
      </c>
      <c r="E94" s="4">
        <v>0</v>
      </c>
      <c r="F94" s="12">
        <v>3.7232048952529099E-6</v>
      </c>
      <c r="G94" s="12">
        <v>2.1298254272123199E-14</v>
      </c>
      <c r="H94" s="4" t="s">
        <v>75</v>
      </c>
      <c r="I94" s="4">
        <f>I54-1</f>
        <v>146</v>
      </c>
      <c r="J94" s="4">
        <f t="shared" si="4"/>
        <v>9.5890410958904104E-2</v>
      </c>
      <c r="K94" s="12">
        <f t="shared" si="3"/>
        <v>3.5701964749000506E-7</v>
      </c>
    </row>
    <row r="95" spans="1:11" x14ac:dyDescent="0.25">
      <c r="A95" s="4" t="s">
        <v>74</v>
      </c>
      <c r="B95" s="4" t="s">
        <v>242</v>
      </c>
      <c r="C95" s="4">
        <v>0</v>
      </c>
      <c r="D95" s="4">
        <v>0</v>
      </c>
      <c r="E95" s="4">
        <v>0</v>
      </c>
      <c r="F95" s="12">
        <v>3.9668793720939201E-6</v>
      </c>
      <c r="G95" s="12">
        <v>5.5694109030679797E-87</v>
      </c>
      <c r="H95" s="4" t="s">
        <v>278</v>
      </c>
      <c r="I95" s="4">
        <f>I52-1</f>
        <v>130</v>
      </c>
      <c r="J95" s="4">
        <f t="shared" si="4"/>
        <v>0.1076923076923077</v>
      </c>
      <c r="K95" s="12">
        <f t="shared" si="3"/>
        <v>4.272023939178068E-7</v>
      </c>
    </row>
    <row r="96" spans="1:11" x14ac:dyDescent="0.25">
      <c r="A96" s="4" t="s">
        <v>73</v>
      </c>
      <c r="B96" s="4" t="s">
        <v>242</v>
      </c>
      <c r="C96" s="4">
        <v>0</v>
      </c>
      <c r="D96" s="4">
        <v>0</v>
      </c>
      <c r="E96" s="4">
        <v>0</v>
      </c>
      <c r="F96" s="12">
        <v>4.2600122676777301E-6</v>
      </c>
      <c r="G96" s="12">
        <v>3.75146306394646E-16</v>
      </c>
      <c r="H96" s="4" t="s">
        <v>279</v>
      </c>
      <c r="I96" s="4">
        <f>I58-1</f>
        <v>114</v>
      </c>
      <c r="J96" s="4">
        <f t="shared" si="4"/>
        <v>0.12280701754385964</v>
      </c>
      <c r="K96" s="12">
        <f t="shared" si="3"/>
        <v>5.2315940129375635E-7</v>
      </c>
    </row>
    <row r="97" spans="1:11" x14ac:dyDescent="0.25">
      <c r="A97" s="4" t="s">
        <v>72</v>
      </c>
      <c r="B97" s="4" t="s">
        <v>242</v>
      </c>
      <c r="C97" s="4">
        <v>0</v>
      </c>
      <c r="D97" s="4">
        <v>0</v>
      </c>
      <c r="E97" s="4">
        <v>0</v>
      </c>
      <c r="F97" s="12">
        <v>1.45216140179267E-12</v>
      </c>
      <c r="G97" s="12">
        <v>4.3956876032921897E-24</v>
      </c>
      <c r="H97" s="4" t="s">
        <v>280</v>
      </c>
      <c r="I97" s="4">
        <f>I46-1</f>
        <v>164</v>
      </c>
      <c r="J97" s="4">
        <f t="shared" si="4"/>
        <v>8.5365853658536592E-2</v>
      </c>
      <c r="K97" s="12">
        <f t="shared" si="3"/>
        <v>1.2396499771400842E-13</v>
      </c>
    </row>
    <row r="98" spans="1:11" x14ac:dyDescent="0.25">
      <c r="A98" s="4" t="s">
        <v>71</v>
      </c>
      <c r="B98" s="4" t="s">
        <v>242</v>
      </c>
      <c r="C98" s="4">
        <v>0</v>
      </c>
      <c r="D98" s="4">
        <v>0</v>
      </c>
      <c r="E98" s="4">
        <v>0</v>
      </c>
      <c r="F98" s="12">
        <v>7.4687410169251601E-13</v>
      </c>
      <c r="G98" s="12">
        <v>4.9672450090574E-24</v>
      </c>
      <c r="H98" s="4" t="s">
        <v>281</v>
      </c>
      <c r="I98" s="4">
        <f>I45-1</f>
        <v>203</v>
      </c>
      <c r="J98" s="4">
        <f>$W$26*2/I98</f>
        <v>0.13793103448275862</v>
      </c>
      <c r="K98" s="12">
        <f t="shared" si="3"/>
        <v>1.0301711747482979E-13</v>
      </c>
    </row>
    <row r="99" spans="1:11" x14ac:dyDescent="0.25">
      <c r="A99" s="4" t="s">
        <v>70</v>
      </c>
      <c r="B99" s="4" t="s">
        <v>242</v>
      </c>
      <c r="C99" s="4">
        <v>0</v>
      </c>
      <c r="D99" s="4">
        <v>0</v>
      </c>
      <c r="E99" s="4">
        <v>0</v>
      </c>
      <c r="F99" s="12">
        <v>4.9682272118264697E-10</v>
      </c>
      <c r="G99" s="12">
        <v>2.7035358100628501E-12</v>
      </c>
      <c r="H99" s="4" t="s">
        <v>282</v>
      </c>
      <c r="I99" s="4">
        <f>I41-1</f>
        <v>173</v>
      </c>
      <c r="J99" s="4">
        <f>$W$26*4/I99</f>
        <v>0.32369942196531792</v>
      </c>
      <c r="K99" s="12">
        <f t="shared" si="3"/>
        <v>1.6082122766605913E-10</v>
      </c>
    </row>
    <row r="100" spans="1:11" x14ac:dyDescent="0.25">
      <c r="A100" s="4" t="s">
        <v>69</v>
      </c>
      <c r="B100" s="4" t="s">
        <v>242</v>
      </c>
      <c r="C100" s="4">
        <v>0</v>
      </c>
      <c r="D100" s="4">
        <v>0</v>
      </c>
      <c r="E100" s="4">
        <v>0</v>
      </c>
      <c r="F100" s="12">
        <v>5.4143179134576602E-14</v>
      </c>
      <c r="G100" s="12">
        <v>1.9219108874093401E-22</v>
      </c>
      <c r="H100" s="4" t="s">
        <v>283</v>
      </c>
      <c r="I100" s="4">
        <f>I43-1</f>
        <v>145</v>
      </c>
      <c r="J100" s="4">
        <f>$W$26*2/I100</f>
        <v>0.19310344827586207</v>
      </c>
      <c r="K100" s="12">
        <f t="shared" si="3"/>
        <v>1.0455234591504448E-14</v>
      </c>
    </row>
    <row r="101" spans="1:11" x14ac:dyDescent="0.25">
      <c r="A101" s="4" t="s">
        <v>68</v>
      </c>
      <c r="B101" s="4" t="s">
        <v>242</v>
      </c>
      <c r="C101" s="4">
        <v>0</v>
      </c>
      <c r="D101" s="4">
        <v>0</v>
      </c>
      <c r="E101" s="4">
        <v>0</v>
      </c>
      <c r="F101" s="12">
        <v>6.5898297152320603E-12</v>
      </c>
      <c r="G101" s="12">
        <v>6.2130795831593294E-20</v>
      </c>
      <c r="H101" s="4" t="s">
        <v>284</v>
      </c>
      <c r="I101" s="4">
        <f>I46-1</f>
        <v>164</v>
      </c>
      <c r="J101" s="4">
        <f>$W$26/I101</f>
        <v>8.5365853658536592E-2</v>
      </c>
      <c r="K101" s="12">
        <f t="shared" si="3"/>
        <v>5.6254643910517591E-13</v>
      </c>
    </row>
    <row r="102" spans="1:11" x14ac:dyDescent="0.25">
      <c r="A102" s="4" t="s">
        <v>67</v>
      </c>
      <c r="B102" s="4" t="s">
        <v>242</v>
      </c>
      <c r="C102" s="4">
        <v>0</v>
      </c>
      <c r="D102" s="4">
        <v>0</v>
      </c>
      <c r="E102" s="4">
        <v>0</v>
      </c>
      <c r="F102" s="12">
        <v>1.0907638850099801E-12</v>
      </c>
      <c r="G102" s="12">
        <v>1.53140837016194E-93</v>
      </c>
      <c r="H102" s="4" t="s">
        <v>285</v>
      </c>
      <c r="I102" s="4">
        <f>I48-1</f>
        <v>148</v>
      </c>
      <c r="J102" s="4">
        <f>$W$26/I102</f>
        <v>9.45945945945946E-2</v>
      </c>
      <c r="K102" s="12">
        <f t="shared" si="3"/>
        <v>1.0318036750094407E-13</v>
      </c>
    </row>
    <row r="103" spans="1:11" x14ac:dyDescent="0.25">
      <c r="A103" s="4" t="s">
        <v>66</v>
      </c>
      <c r="B103" s="4" t="s">
        <v>242</v>
      </c>
      <c r="C103" s="4">
        <v>0</v>
      </c>
      <c r="D103" s="4">
        <v>0</v>
      </c>
      <c r="E103" s="4">
        <v>0</v>
      </c>
      <c r="F103" s="12">
        <v>7.0610166102136103E-14</v>
      </c>
      <c r="G103" s="12">
        <v>9.9135111524477202E-95</v>
      </c>
      <c r="H103" s="4" t="s">
        <v>287</v>
      </c>
      <c r="I103" s="4">
        <f>I49-1</f>
        <v>118</v>
      </c>
      <c r="J103" s="4">
        <f>$W$26/I103</f>
        <v>0.11864406779661017</v>
      </c>
      <c r="K103" s="12">
        <f t="shared" si="3"/>
        <v>8.3774773341517413E-15</v>
      </c>
    </row>
    <row r="104" spans="1:11" x14ac:dyDescent="0.25">
      <c r="A104" s="4" t="s">
        <v>65</v>
      </c>
      <c r="B104" s="4" t="s">
        <v>242</v>
      </c>
      <c r="C104" s="4">
        <v>0</v>
      </c>
      <c r="D104" s="4">
        <v>0</v>
      </c>
      <c r="E104" s="4">
        <v>0</v>
      </c>
      <c r="F104" s="12">
        <v>8.1585228539149502E-13</v>
      </c>
      <c r="G104" s="12">
        <v>1.14543856450918E-93</v>
      </c>
      <c r="H104" s="4" t="s">
        <v>64</v>
      </c>
      <c r="I104" s="4">
        <f>I55-1</f>
        <v>132</v>
      </c>
      <c r="J104" s="4">
        <f>$W$26/I104</f>
        <v>0.10606060606060606</v>
      </c>
      <c r="K104" s="12">
        <f t="shared" si="3"/>
        <v>8.6529787844552509E-14</v>
      </c>
    </row>
    <row r="105" spans="1:11" x14ac:dyDescent="0.25">
      <c r="A105" s="4" t="s">
        <v>64</v>
      </c>
      <c r="B105" s="4" t="s">
        <v>242</v>
      </c>
      <c r="C105" s="4">
        <v>0</v>
      </c>
      <c r="D105" s="4">
        <v>0</v>
      </c>
      <c r="E105" s="4">
        <v>0</v>
      </c>
      <c r="F105" s="12">
        <v>8.6513410340304406E-12</v>
      </c>
      <c r="G105" s="12">
        <v>1.2146291470328999E-92</v>
      </c>
      <c r="H105" s="4" t="s">
        <v>64</v>
      </c>
      <c r="I105" s="4">
        <f>I104</f>
        <v>132</v>
      </c>
      <c r="J105" s="4">
        <f>$W$26/I105</f>
        <v>0.10606060606060606</v>
      </c>
      <c r="K105" s="12">
        <f t="shared" si="3"/>
        <v>9.1756647330625892E-13</v>
      </c>
    </row>
    <row r="106" spans="1:11" x14ac:dyDescent="0.25">
      <c r="A106" s="4" t="s">
        <v>63</v>
      </c>
      <c r="B106" s="4" t="s">
        <v>242</v>
      </c>
      <c r="C106" s="4">
        <v>0</v>
      </c>
      <c r="D106" s="4">
        <v>0</v>
      </c>
      <c r="E106" s="4">
        <v>0</v>
      </c>
      <c r="F106" s="12">
        <v>1.72649769547341E-10</v>
      </c>
      <c r="G106" s="12">
        <v>6.1285184413902696E-19</v>
      </c>
      <c r="H106" s="4" t="s">
        <v>283</v>
      </c>
      <c r="I106" s="4">
        <f>I100</f>
        <v>145</v>
      </c>
      <c r="J106" s="4">
        <f>$W$26*2/I106</f>
        <v>0.19310344827586207</v>
      </c>
      <c r="K106" s="12">
        <f t="shared" si="3"/>
        <v>3.3339265843624466E-11</v>
      </c>
    </row>
    <row r="107" spans="1:11" x14ac:dyDescent="0.25">
      <c r="A107" s="4" t="s">
        <v>62</v>
      </c>
      <c r="B107" s="4" t="s">
        <v>242</v>
      </c>
      <c r="C107" s="4">
        <v>0</v>
      </c>
      <c r="D107" s="4">
        <v>0</v>
      </c>
      <c r="E107" s="4">
        <v>0</v>
      </c>
      <c r="F107" s="12">
        <v>1.60664769622709E-7</v>
      </c>
      <c r="G107" s="12">
        <v>4.8633170888890698E-19</v>
      </c>
      <c r="H107" s="4" t="s">
        <v>280</v>
      </c>
      <c r="I107" s="4">
        <f>I97</f>
        <v>164</v>
      </c>
      <c r="J107" s="4">
        <f>$W$26/I107</f>
        <v>8.5365853658536592E-2</v>
      </c>
      <c r="K107" s="12">
        <f t="shared" si="3"/>
        <v>1.3715285211694672E-8</v>
      </c>
    </row>
    <row r="108" spans="1:11" x14ac:dyDescent="0.25">
      <c r="A108" s="4" t="s">
        <v>61</v>
      </c>
      <c r="B108" s="4" t="s">
        <v>242</v>
      </c>
      <c r="C108" s="4">
        <v>0</v>
      </c>
      <c r="D108" s="4">
        <v>0</v>
      </c>
      <c r="E108" s="4">
        <v>0</v>
      </c>
      <c r="F108" s="12">
        <v>1.6130438273781899E-13</v>
      </c>
      <c r="G108" s="12">
        <v>4.8826781560371196E-25</v>
      </c>
      <c r="H108" s="4" t="s">
        <v>280</v>
      </c>
      <c r="I108" s="4">
        <f>I97</f>
        <v>164</v>
      </c>
      <c r="J108" s="4">
        <f>$W$26/I108</f>
        <v>8.5365853658536592E-2</v>
      </c>
      <c r="K108" s="12">
        <f t="shared" si="3"/>
        <v>1.3769886331277231E-14</v>
      </c>
    </row>
    <row r="109" spans="1:11" x14ac:dyDescent="0.25">
      <c r="A109" s="4" t="s">
        <v>60</v>
      </c>
      <c r="B109" s="4" t="s">
        <v>242</v>
      </c>
      <c r="C109" s="4">
        <v>0</v>
      </c>
      <c r="D109" s="4">
        <v>0</v>
      </c>
      <c r="E109" s="4">
        <v>0</v>
      </c>
      <c r="F109" s="12">
        <v>5.1403073507462602E-11</v>
      </c>
      <c r="G109" s="12">
        <v>3.4186706936488898E-22</v>
      </c>
      <c r="H109" s="4" t="s">
        <v>281</v>
      </c>
      <c r="I109" s="4">
        <f>I99</f>
        <v>173</v>
      </c>
      <c r="J109" s="4">
        <f>$W$26*2/I109</f>
        <v>0.16184971098265896</v>
      </c>
      <c r="K109" s="12">
        <f t="shared" si="3"/>
        <v>8.3195725908031965E-12</v>
      </c>
    </row>
    <row r="110" spans="1:11" x14ac:dyDescent="0.25">
      <c r="A110" s="4" t="s">
        <v>59</v>
      </c>
      <c r="B110" s="4" t="s">
        <v>242</v>
      </c>
      <c r="C110" s="4">
        <v>0</v>
      </c>
      <c r="D110" s="4">
        <v>0</v>
      </c>
      <c r="E110" s="4">
        <v>0</v>
      </c>
      <c r="F110" s="12">
        <v>5.1603334422161797E-7</v>
      </c>
      <c r="G110" s="12">
        <v>2.8080733142974501E-9</v>
      </c>
      <c r="H110" s="4" t="s">
        <v>282</v>
      </c>
      <c r="I110" s="4">
        <f>I99</f>
        <v>173</v>
      </c>
      <c r="J110" s="4">
        <f>$W$26*4/I110</f>
        <v>0.32369942196531792</v>
      </c>
      <c r="K110" s="12">
        <f t="shared" si="3"/>
        <v>1.6703969523936767E-7</v>
      </c>
    </row>
    <row r="111" spans="1:11" x14ac:dyDescent="0.25">
      <c r="A111" s="4" t="s">
        <v>58</v>
      </c>
      <c r="B111" s="4" t="s">
        <v>242</v>
      </c>
      <c r="C111" s="4">
        <v>0</v>
      </c>
      <c r="D111" s="4">
        <v>0</v>
      </c>
      <c r="E111" s="4">
        <v>0</v>
      </c>
      <c r="F111" s="12">
        <v>1.16021907553188E-13</v>
      </c>
      <c r="G111" s="12">
        <v>6.3135071817001296E-16</v>
      </c>
      <c r="H111" s="4" t="s">
        <v>282</v>
      </c>
      <c r="I111" s="4">
        <f>I99</f>
        <v>173</v>
      </c>
      <c r="J111" s="4">
        <f>$W$26*4/I111</f>
        <v>0.32369942196531792</v>
      </c>
      <c r="K111" s="12">
        <f t="shared" si="3"/>
        <v>3.7556224410280509E-14</v>
      </c>
    </row>
    <row r="112" spans="1:11" x14ac:dyDescent="0.25">
      <c r="A112" s="4" t="s">
        <v>57</v>
      </c>
      <c r="B112" s="4" t="s">
        <v>242</v>
      </c>
      <c r="C112" s="4">
        <v>0</v>
      </c>
      <c r="D112" s="4">
        <v>0</v>
      </c>
      <c r="E112" s="4">
        <v>0</v>
      </c>
      <c r="F112" s="12">
        <v>1.0350059685382499E-6</v>
      </c>
      <c r="G112" s="12">
        <v>9.7583317467355798E-15</v>
      </c>
      <c r="H112" s="4" t="s">
        <v>284</v>
      </c>
      <c r="I112" s="4">
        <f>I101</f>
        <v>164</v>
      </c>
      <c r="J112" s="4">
        <f>$W$26/I112</f>
        <v>8.5365853658536592E-2</v>
      </c>
      <c r="K112" s="12">
        <f t="shared" si="3"/>
        <v>8.8354168045948175E-8</v>
      </c>
    </row>
    <row r="113" spans="1:11" x14ac:dyDescent="0.25">
      <c r="A113" s="4" t="s">
        <v>56</v>
      </c>
      <c r="B113" s="4" t="s">
        <v>242</v>
      </c>
      <c r="C113" s="4">
        <v>0</v>
      </c>
      <c r="D113" s="4">
        <v>0</v>
      </c>
      <c r="E113" s="4">
        <v>0</v>
      </c>
      <c r="F113" s="12">
        <v>3.7371892440752497E-11</v>
      </c>
      <c r="G113" s="12">
        <v>5.24693104337944E-92</v>
      </c>
      <c r="H113" s="4" t="s">
        <v>285</v>
      </c>
      <c r="I113" s="4">
        <f>I102</f>
        <v>148</v>
      </c>
      <c r="J113" s="4">
        <f>$W$26/I113</f>
        <v>9.45945945945946E-2</v>
      </c>
      <c r="K113" s="12">
        <f t="shared" si="3"/>
        <v>3.5351790146657771E-12</v>
      </c>
    </row>
    <row r="114" spans="1:11" x14ac:dyDescent="0.25">
      <c r="A114" s="4" t="s">
        <v>55</v>
      </c>
      <c r="B114" s="4" t="s">
        <v>242</v>
      </c>
      <c r="C114" s="4">
        <v>0</v>
      </c>
      <c r="D114" s="4">
        <v>0</v>
      </c>
      <c r="E114" s="4">
        <v>0</v>
      </c>
      <c r="F114" s="12">
        <v>2.6675487351226898E-7</v>
      </c>
      <c r="G114" s="12">
        <v>3.7451794260170302E-88</v>
      </c>
      <c r="H114" s="4" t="s">
        <v>286</v>
      </c>
      <c r="I114" s="4">
        <f>I103</f>
        <v>118</v>
      </c>
      <c r="J114" s="4">
        <f>$W$26/I114</f>
        <v>0.11864406779661017</v>
      </c>
      <c r="K114" s="12">
        <f t="shared" si="3"/>
        <v>3.1648883298065812E-8</v>
      </c>
    </row>
    <row r="115" spans="1:11" x14ac:dyDescent="0.25">
      <c r="A115" s="10" t="s">
        <v>54</v>
      </c>
      <c r="B115" s="10" t="s">
        <v>242</v>
      </c>
      <c r="C115" s="10">
        <v>0</v>
      </c>
      <c r="D115" s="10">
        <v>0</v>
      </c>
      <c r="E115" s="10">
        <v>0</v>
      </c>
      <c r="F115" s="15">
        <v>0</v>
      </c>
      <c r="G115" s="15">
        <v>0</v>
      </c>
      <c r="H115" s="10" t="s">
        <v>248</v>
      </c>
      <c r="I115" s="10">
        <f>W26*2+W28*6+W27*1+W29*2</f>
        <v>78</v>
      </c>
      <c r="J115" s="10">
        <f>$W$26*2/I115</f>
        <v>0.35897435897435898</v>
      </c>
      <c r="K115" s="15">
        <f t="shared" si="3"/>
        <v>0</v>
      </c>
    </row>
    <row r="116" spans="1:11" x14ac:dyDescent="0.25">
      <c r="A116" s="10" t="s">
        <v>53</v>
      </c>
      <c r="B116" s="10" t="s">
        <v>242</v>
      </c>
      <c r="C116" s="10">
        <v>0</v>
      </c>
      <c r="D116" s="10">
        <v>0</v>
      </c>
      <c r="E116" s="10">
        <v>0</v>
      </c>
      <c r="F116" s="15">
        <v>1.5738734898678701E-8</v>
      </c>
      <c r="G116" s="15">
        <v>2.20968357046181E-89</v>
      </c>
      <c r="H116" s="10" t="s">
        <v>249</v>
      </c>
      <c r="I116" s="10">
        <f>I38+I70</f>
        <v>51</v>
      </c>
      <c r="J116" s="10">
        <f>$W$26/I116</f>
        <v>0.27450980392156865</v>
      </c>
      <c r="K116" s="15">
        <f t="shared" si="3"/>
        <v>4.3204370310098401E-9</v>
      </c>
    </row>
    <row r="117" spans="1:11" x14ac:dyDescent="0.25">
      <c r="A117" s="10" t="s">
        <v>52</v>
      </c>
      <c r="B117" s="10" t="s">
        <v>242</v>
      </c>
      <c r="C117" s="10">
        <v>0</v>
      </c>
      <c r="D117" s="10">
        <v>0</v>
      </c>
      <c r="E117" s="10">
        <v>0</v>
      </c>
      <c r="F117" s="15">
        <v>1.9755181355586099E-4</v>
      </c>
      <c r="G117" s="15">
        <v>2.77358376984904E-85</v>
      </c>
      <c r="H117" s="10" t="s">
        <v>250</v>
      </c>
      <c r="I117" s="10">
        <f>I38+I68</f>
        <v>79</v>
      </c>
      <c r="J117" s="10">
        <f>$W$26/I117</f>
        <v>0.17721518987341772</v>
      </c>
      <c r="K117" s="15">
        <f t="shared" si="3"/>
        <v>3.5009182149139924E-5</v>
      </c>
    </row>
    <row r="118" spans="1:11" x14ac:dyDescent="0.25">
      <c r="A118" s="10" t="s">
        <v>51</v>
      </c>
      <c r="B118" s="10" t="s">
        <v>242</v>
      </c>
      <c r="C118" s="10">
        <v>0</v>
      </c>
      <c r="D118" s="10">
        <v>0</v>
      </c>
      <c r="E118" s="10">
        <v>0</v>
      </c>
      <c r="F118" s="15">
        <v>0</v>
      </c>
      <c r="G118" s="15">
        <v>0</v>
      </c>
      <c r="H118" s="10" t="s">
        <v>251</v>
      </c>
      <c r="I118" s="10">
        <f>W30</f>
        <v>32</v>
      </c>
      <c r="J118" s="10">
        <v>0</v>
      </c>
      <c r="K118" s="15">
        <f t="shared" si="3"/>
        <v>0</v>
      </c>
    </row>
    <row r="119" spans="1:11" x14ac:dyDescent="0.25">
      <c r="A119" s="10" t="s">
        <v>50</v>
      </c>
      <c r="B119" s="10" t="s">
        <v>242</v>
      </c>
      <c r="C119" s="10">
        <v>0</v>
      </c>
      <c r="D119" s="10">
        <v>0</v>
      </c>
      <c r="E119" s="10">
        <v>0</v>
      </c>
      <c r="F119" s="15">
        <v>2.7738904212107399E-15</v>
      </c>
      <c r="G119" s="15">
        <v>0</v>
      </c>
      <c r="H119" s="10" t="s">
        <v>252</v>
      </c>
      <c r="I119" s="10">
        <f>W30+W32*2+W31*1+W33*2</f>
        <v>230</v>
      </c>
      <c r="J119" s="10">
        <f>$W$26/I119</f>
        <v>6.0869565217391307E-2</v>
      </c>
      <c r="K119" s="15">
        <f t="shared" si="3"/>
        <v>1.6884550389978417E-16</v>
      </c>
    </row>
    <row r="120" spans="1:11" x14ac:dyDescent="0.25">
      <c r="A120" s="10" t="s">
        <v>49</v>
      </c>
      <c r="B120" s="10" t="s">
        <v>242</v>
      </c>
      <c r="C120" s="10">
        <v>0</v>
      </c>
      <c r="D120" s="10">
        <v>0</v>
      </c>
      <c r="E120" s="10">
        <v>0</v>
      </c>
      <c r="F120" s="15">
        <v>2.0712761923676501E-14</v>
      </c>
      <c r="G120" s="15">
        <v>4.0529436639462797E-30</v>
      </c>
      <c r="H120" s="10" t="s">
        <v>49</v>
      </c>
      <c r="I120" s="10">
        <f>W28*3+W33*1+W29*4</f>
        <v>98</v>
      </c>
      <c r="J120" s="10">
        <v>0</v>
      </c>
      <c r="K120" s="15">
        <f t="shared" si="3"/>
        <v>0</v>
      </c>
    </row>
    <row r="121" spans="1:11" x14ac:dyDescent="0.25">
      <c r="A121" s="10" t="s">
        <v>48</v>
      </c>
      <c r="B121" s="10" t="s">
        <v>242</v>
      </c>
      <c r="C121" s="10">
        <v>0</v>
      </c>
      <c r="D121" s="10">
        <v>0</v>
      </c>
      <c r="E121" s="10">
        <v>0</v>
      </c>
      <c r="F121" s="15">
        <v>3.3756616807645299E-6</v>
      </c>
      <c r="G121" s="15">
        <v>0</v>
      </c>
      <c r="H121" s="10" t="s">
        <v>48</v>
      </c>
      <c r="I121" s="10">
        <f>I120-1</f>
        <v>97</v>
      </c>
      <c r="J121" s="10">
        <v>0</v>
      </c>
      <c r="K121" s="15">
        <f t="shared" si="3"/>
        <v>0</v>
      </c>
    </row>
    <row r="122" spans="1:11" x14ac:dyDescent="0.25">
      <c r="A122" s="10" t="s">
        <v>47</v>
      </c>
      <c r="B122" s="10" t="s">
        <v>242</v>
      </c>
      <c r="C122" s="16">
        <v>0</v>
      </c>
      <c r="D122" s="16">
        <v>0</v>
      </c>
      <c r="E122" s="16">
        <v>0</v>
      </c>
      <c r="F122" s="15">
        <v>8.9740546033934603E-10</v>
      </c>
      <c r="G122" s="15">
        <v>0</v>
      </c>
      <c r="H122" s="10" t="s">
        <v>253</v>
      </c>
      <c r="I122" s="10">
        <f>I121-1</f>
        <v>96</v>
      </c>
      <c r="J122" s="10">
        <v>0</v>
      </c>
      <c r="K122" s="15">
        <f t="shared" si="3"/>
        <v>0</v>
      </c>
    </row>
    <row r="123" spans="1:11" x14ac:dyDescent="0.25">
      <c r="A123" s="10" t="s">
        <v>46</v>
      </c>
      <c r="B123" s="10" t="s">
        <v>242</v>
      </c>
      <c r="C123" s="10">
        <v>0</v>
      </c>
      <c r="D123" s="10">
        <v>0</v>
      </c>
      <c r="E123" s="10">
        <v>0</v>
      </c>
      <c r="F123" s="15">
        <v>4.0331090122134799E-6</v>
      </c>
      <c r="G123" s="15">
        <v>0</v>
      </c>
      <c r="H123" s="10" t="s">
        <v>254</v>
      </c>
      <c r="I123" s="10">
        <f>I122-1</f>
        <v>95</v>
      </c>
      <c r="J123" s="10">
        <v>0</v>
      </c>
      <c r="K123" s="15">
        <f t="shared" si="3"/>
        <v>0</v>
      </c>
    </row>
    <row r="124" spans="1:11" x14ac:dyDescent="0.25">
      <c r="A124" s="10" t="s">
        <v>45</v>
      </c>
      <c r="B124" s="10" t="s">
        <v>242</v>
      </c>
      <c r="C124" s="10">
        <v>0</v>
      </c>
      <c r="D124" s="10">
        <v>0</v>
      </c>
      <c r="E124" s="10">
        <v>0</v>
      </c>
      <c r="F124" s="15">
        <v>0</v>
      </c>
      <c r="G124" s="15">
        <v>0</v>
      </c>
      <c r="H124" s="10" t="s">
        <v>255</v>
      </c>
      <c r="I124" s="10">
        <f>I38*2+I122</f>
        <v>132</v>
      </c>
      <c r="J124" s="10">
        <f>$W$26/I124</f>
        <v>0.10606060606060606</v>
      </c>
      <c r="K124" s="15">
        <f t="shared" si="3"/>
        <v>0</v>
      </c>
    </row>
    <row r="125" spans="1:11" x14ac:dyDescent="0.25">
      <c r="A125" s="10" t="s">
        <v>44</v>
      </c>
      <c r="B125" s="10" t="s">
        <v>242</v>
      </c>
      <c r="C125" s="10">
        <v>0</v>
      </c>
      <c r="D125" s="10">
        <v>0</v>
      </c>
      <c r="E125" s="10">
        <v>0</v>
      </c>
      <c r="F125" s="15">
        <v>0</v>
      </c>
      <c r="G125" s="15">
        <v>0</v>
      </c>
      <c r="H125" s="10" t="s">
        <v>256</v>
      </c>
      <c r="I125" s="10">
        <f>W26+W28*6+I123</f>
        <v>115</v>
      </c>
      <c r="J125" s="10">
        <f>$W$26*2/I125</f>
        <v>0.24347826086956523</v>
      </c>
      <c r="K125" s="15">
        <f t="shared" si="3"/>
        <v>0</v>
      </c>
    </row>
    <row r="126" spans="1:11" x14ac:dyDescent="0.25">
      <c r="A126" s="10" t="s">
        <v>43</v>
      </c>
      <c r="B126" s="10" t="s">
        <v>242</v>
      </c>
      <c r="C126" s="10">
        <v>0</v>
      </c>
      <c r="D126" s="10">
        <v>0</v>
      </c>
      <c r="E126" s="10">
        <v>0</v>
      </c>
      <c r="F126" s="15">
        <v>3.7578891062568599E-10</v>
      </c>
      <c r="G126" s="15">
        <v>0</v>
      </c>
      <c r="H126" s="10" t="s">
        <v>43</v>
      </c>
      <c r="I126" s="10">
        <f>W34</f>
        <v>39</v>
      </c>
      <c r="J126" s="10">
        <v>0</v>
      </c>
      <c r="K126" s="15">
        <f t="shared" si="3"/>
        <v>0</v>
      </c>
    </row>
    <row r="127" spans="1:11" x14ac:dyDescent="0.25">
      <c r="A127" s="10" t="s">
        <v>42</v>
      </c>
      <c r="B127" s="10" t="s">
        <v>242</v>
      </c>
      <c r="C127" s="16">
        <v>0</v>
      </c>
      <c r="D127" s="16">
        <v>1.5853428085547599E-6</v>
      </c>
      <c r="E127" s="16">
        <v>1.5853428085547801E-6</v>
      </c>
      <c r="F127" s="15">
        <v>1.04420859879672E-2</v>
      </c>
      <c r="G127" s="15">
        <v>1.4660457779804E-83</v>
      </c>
      <c r="H127" s="10" t="s">
        <v>42</v>
      </c>
      <c r="I127" s="10">
        <f>I126+2+I123</f>
        <v>136</v>
      </c>
      <c r="J127" s="10">
        <v>0</v>
      </c>
      <c r="K127" s="15">
        <f t="shared" si="3"/>
        <v>0</v>
      </c>
    </row>
    <row r="128" spans="1:11" x14ac:dyDescent="0.25">
      <c r="A128" s="10" t="s">
        <v>41</v>
      </c>
      <c r="B128" s="10" t="s">
        <v>242</v>
      </c>
      <c r="C128" s="10">
        <v>0</v>
      </c>
      <c r="D128" s="10">
        <v>0</v>
      </c>
      <c r="E128" s="10">
        <v>0</v>
      </c>
      <c r="F128" s="15">
        <v>3.1257991853090602E-4</v>
      </c>
      <c r="G128" s="15">
        <v>4.38855292296726E-85</v>
      </c>
      <c r="H128" s="10" t="s">
        <v>41</v>
      </c>
      <c r="I128" s="10">
        <f>I127+2+I124</f>
        <v>270</v>
      </c>
      <c r="J128" s="10">
        <v>0</v>
      </c>
      <c r="K128" s="15">
        <f t="shared" si="3"/>
        <v>0</v>
      </c>
    </row>
    <row r="129" spans="1:11" x14ac:dyDescent="0.25">
      <c r="A129" s="10" t="s">
        <v>40</v>
      </c>
      <c r="B129" s="10" t="s">
        <v>242</v>
      </c>
      <c r="C129" s="10">
        <v>0</v>
      </c>
      <c r="D129" s="10">
        <v>0</v>
      </c>
      <c r="E129" s="10">
        <v>0</v>
      </c>
      <c r="F129" s="15">
        <v>0</v>
      </c>
      <c r="G129" s="15">
        <v>0</v>
      </c>
      <c r="H129" s="10" t="s">
        <v>40</v>
      </c>
      <c r="I129" s="10">
        <f>I126*2+I69</f>
        <v>138</v>
      </c>
      <c r="J129" s="10">
        <v>0</v>
      </c>
      <c r="K129" s="15">
        <f t="shared" si="3"/>
        <v>0</v>
      </c>
    </row>
    <row r="130" spans="1:11" x14ac:dyDescent="0.25">
      <c r="A130" s="10" t="s">
        <v>39</v>
      </c>
      <c r="B130" s="10" t="s">
        <v>242</v>
      </c>
      <c r="C130" s="10">
        <v>0</v>
      </c>
      <c r="D130" s="10">
        <v>0</v>
      </c>
      <c r="E130" s="10">
        <v>0</v>
      </c>
      <c r="F130" s="15">
        <v>0</v>
      </c>
      <c r="G130" s="15">
        <v>0</v>
      </c>
      <c r="H130" s="10" t="s">
        <v>39</v>
      </c>
      <c r="I130" s="10">
        <f>I126+1+I69</f>
        <v>100</v>
      </c>
      <c r="J130" s="10">
        <v>0</v>
      </c>
      <c r="K130" s="15">
        <f t="shared" si="3"/>
        <v>0</v>
      </c>
    </row>
    <row r="131" spans="1:11" x14ac:dyDescent="0.25">
      <c r="A131" s="10" t="s">
        <v>38</v>
      </c>
      <c r="B131" s="10" t="s">
        <v>242</v>
      </c>
      <c r="C131" s="16">
        <v>0</v>
      </c>
      <c r="D131" s="16">
        <v>0</v>
      </c>
      <c r="E131" s="16">
        <v>0</v>
      </c>
      <c r="F131" s="15">
        <v>0</v>
      </c>
      <c r="G131" s="15">
        <v>0</v>
      </c>
      <c r="H131" s="10" t="s">
        <v>38</v>
      </c>
      <c r="I131" s="10">
        <f>I126*3+I124</f>
        <v>249</v>
      </c>
      <c r="J131" s="10">
        <v>0</v>
      </c>
      <c r="K131" s="15">
        <f t="shared" si="3"/>
        <v>0</v>
      </c>
    </row>
    <row r="132" spans="1:11" x14ac:dyDescent="0.25">
      <c r="A132" s="10" t="s">
        <v>37</v>
      </c>
      <c r="B132" s="10" t="s">
        <v>242</v>
      </c>
      <c r="C132" s="10">
        <v>0</v>
      </c>
      <c r="D132" s="16">
        <v>7.9267140427737902E-7</v>
      </c>
      <c r="E132" s="16">
        <v>7.9267140427739501E-7</v>
      </c>
      <c r="F132" s="15">
        <v>7.2952604584913805E-5</v>
      </c>
      <c r="G132" s="15">
        <v>1.02423843346655E-85</v>
      </c>
      <c r="H132" s="10" t="s">
        <v>37</v>
      </c>
      <c r="I132" s="10">
        <f>W35+I36*2</f>
        <v>58</v>
      </c>
      <c r="J132" s="10">
        <v>0</v>
      </c>
      <c r="K132" s="15">
        <f t="shared" si="3"/>
        <v>0</v>
      </c>
    </row>
    <row r="133" spans="1:11" x14ac:dyDescent="0.25">
      <c r="A133" s="10" t="s">
        <v>36</v>
      </c>
      <c r="B133" s="10" t="s">
        <v>242</v>
      </c>
      <c r="C133" s="16">
        <v>0</v>
      </c>
      <c r="D133" s="16">
        <v>0</v>
      </c>
      <c r="E133" s="16">
        <v>0</v>
      </c>
      <c r="F133" s="15">
        <v>8.8924545663183006E-3</v>
      </c>
      <c r="G133" s="15">
        <v>0</v>
      </c>
      <c r="H133" s="10" t="s">
        <v>257</v>
      </c>
      <c r="I133" s="10">
        <f>W35</f>
        <v>24</v>
      </c>
      <c r="J133" s="10">
        <v>0</v>
      </c>
      <c r="K133" s="15">
        <f t="shared" si="3"/>
        <v>0</v>
      </c>
    </row>
    <row r="134" spans="1:11" x14ac:dyDescent="0.25">
      <c r="A134" s="10" t="s">
        <v>35</v>
      </c>
      <c r="B134" s="10" t="s">
        <v>242</v>
      </c>
      <c r="C134" s="10">
        <v>0</v>
      </c>
      <c r="D134" s="10">
        <v>0</v>
      </c>
      <c r="E134" s="10">
        <v>0</v>
      </c>
      <c r="F134" s="15">
        <v>0</v>
      </c>
      <c r="G134" s="15">
        <v>0</v>
      </c>
      <c r="H134" s="10" t="s">
        <v>292</v>
      </c>
      <c r="I134" s="10">
        <f>I38+I133+I123+I27*6</f>
        <v>245</v>
      </c>
      <c r="J134" s="10">
        <f>$W$26*2/I134</f>
        <v>0.11428571428571428</v>
      </c>
      <c r="K134" s="15">
        <f t="shared" si="3"/>
        <v>0</v>
      </c>
    </row>
    <row r="135" spans="1:11" x14ac:dyDescent="0.25">
      <c r="A135" s="10" t="s">
        <v>34</v>
      </c>
      <c r="B135" s="10" t="s">
        <v>242</v>
      </c>
      <c r="C135" s="10">
        <v>0</v>
      </c>
      <c r="D135" s="10">
        <v>0</v>
      </c>
      <c r="E135" s="10">
        <v>0</v>
      </c>
      <c r="F135" s="15">
        <v>0</v>
      </c>
      <c r="G135" s="15">
        <v>0</v>
      </c>
      <c r="H135" s="10" t="s">
        <v>258</v>
      </c>
      <c r="I135" s="10">
        <f>W31</f>
        <v>56</v>
      </c>
      <c r="J135" s="10">
        <v>0</v>
      </c>
      <c r="K135" s="15">
        <f t="shared" si="3"/>
        <v>0</v>
      </c>
    </row>
    <row r="136" spans="1:11" x14ac:dyDescent="0.25">
      <c r="A136" s="10" t="s">
        <v>33</v>
      </c>
      <c r="B136" s="10" t="s">
        <v>242</v>
      </c>
      <c r="C136" s="16">
        <v>0</v>
      </c>
      <c r="D136" s="16">
        <v>7.9267140427737902E-7</v>
      </c>
      <c r="E136" s="16">
        <v>7.9267140427739501E-7</v>
      </c>
      <c r="F136" s="15">
        <v>9.5558812934831494E-5</v>
      </c>
      <c r="G136" s="15">
        <v>1.3416245988910901E-85</v>
      </c>
      <c r="H136" s="10" t="s">
        <v>33</v>
      </c>
      <c r="I136" s="10">
        <f>I135+I36*2</f>
        <v>90</v>
      </c>
      <c r="J136" s="10">
        <v>0</v>
      </c>
      <c r="K136" s="15">
        <f t="shared" si="3"/>
        <v>0</v>
      </c>
    </row>
    <row r="137" spans="1:11" x14ac:dyDescent="0.25">
      <c r="A137" s="10" t="s">
        <v>32</v>
      </c>
      <c r="B137" s="10" t="s">
        <v>242</v>
      </c>
      <c r="C137" s="10">
        <v>0</v>
      </c>
      <c r="D137" s="10">
        <v>0</v>
      </c>
      <c r="E137" s="10">
        <v>0</v>
      </c>
      <c r="F137" s="15">
        <v>9.4743142659830405E-3</v>
      </c>
      <c r="G137" s="15">
        <v>0</v>
      </c>
      <c r="H137" s="10" t="s">
        <v>259</v>
      </c>
      <c r="I137" s="10">
        <f>I135</f>
        <v>56</v>
      </c>
      <c r="J137" s="10">
        <v>0</v>
      </c>
      <c r="K137" s="15">
        <f t="shared" si="3"/>
        <v>0</v>
      </c>
    </row>
    <row r="138" spans="1:11" x14ac:dyDescent="0.25">
      <c r="A138" s="10" t="s">
        <v>31</v>
      </c>
      <c r="B138" s="10" t="s">
        <v>242</v>
      </c>
      <c r="C138" s="10">
        <v>0</v>
      </c>
      <c r="D138" s="16">
        <v>7.9267140427737902E-7</v>
      </c>
      <c r="E138" s="16">
        <v>7.9267140427739501E-7</v>
      </c>
      <c r="F138" s="15">
        <v>7.9077826701282604E-7</v>
      </c>
      <c r="G138" s="15">
        <v>1.1102351972668301E-87</v>
      </c>
      <c r="H138" s="10" t="s">
        <v>31</v>
      </c>
      <c r="I138" s="10">
        <f>I137+I36*3</f>
        <v>107</v>
      </c>
      <c r="J138" s="10">
        <v>0</v>
      </c>
      <c r="K138" s="15">
        <f t="shared" si="3"/>
        <v>0</v>
      </c>
    </row>
    <row r="139" spans="1:11" x14ac:dyDescent="0.25">
      <c r="A139" s="10" t="s">
        <v>30</v>
      </c>
      <c r="B139" s="10" t="s">
        <v>242</v>
      </c>
      <c r="C139" s="10">
        <v>0</v>
      </c>
      <c r="D139" s="10">
        <v>0</v>
      </c>
      <c r="E139" s="10">
        <v>0</v>
      </c>
      <c r="F139" s="15">
        <v>0</v>
      </c>
      <c r="G139" s="15">
        <v>0</v>
      </c>
      <c r="H139" s="10" t="s">
        <v>30</v>
      </c>
      <c r="I139" s="10">
        <f>W31+W30</f>
        <v>88</v>
      </c>
      <c r="J139" s="10">
        <v>0</v>
      </c>
      <c r="K139" s="15">
        <f t="shared" si="3"/>
        <v>0</v>
      </c>
    </row>
    <row r="140" spans="1:11" x14ac:dyDescent="0.25">
      <c r="A140" s="10" t="s">
        <v>29</v>
      </c>
      <c r="B140" s="10" t="s">
        <v>242</v>
      </c>
      <c r="C140" s="10">
        <v>0</v>
      </c>
      <c r="D140" s="10">
        <v>0</v>
      </c>
      <c r="E140" s="10">
        <v>0</v>
      </c>
      <c r="F140" s="15">
        <v>4.72065721903538E-20</v>
      </c>
      <c r="G140" s="15">
        <v>1.87714163964647E-96</v>
      </c>
      <c r="H140" s="10" t="s">
        <v>29</v>
      </c>
      <c r="I140" s="10">
        <f>I137+I69</f>
        <v>116</v>
      </c>
      <c r="J140" s="10">
        <v>0</v>
      </c>
      <c r="K140" s="15">
        <f t="shared" si="3"/>
        <v>0</v>
      </c>
    </row>
    <row r="141" spans="1:11" x14ac:dyDescent="0.25">
      <c r="A141" s="10" t="s">
        <v>28</v>
      </c>
      <c r="B141" s="10" t="s">
        <v>242</v>
      </c>
      <c r="C141" s="16">
        <v>0</v>
      </c>
      <c r="D141" s="16">
        <v>7.9267140427737902E-7</v>
      </c>
      <c r="E141" s="16">
        <v>7.9267140427739501E-7</v>
      </c>
      <c r="F141" s="15">
        <v>5.99270190795601E-5</v>
      </c>
      <c r="G141" s="15">
        <v>8.41362093836223E-86</v>
      </c>
      <c r="H141" s="10" t="s">
        <v>28</v>
      </c>
      <c r="I141" s="10">
        <f>W32+I36*2</f>
        <v>74</v>
      </c>
      <c r="J141" s="10">
        <v>0</v>
      </c>
      <c r="K141" s="15">
        <f t="shared" si="3"/>
        <v>0</v>
      </c>
    </row>
    <row r="142" spans="1:11" x14ac:dyDescent="0.25">
      <c r="A142" s="10" t="s">
        <v>27</v>
      </c>
      <c r="B142" s="10" t="s">
        <v>242</v>
      </c>
      <c r="C142" s="16">
        <v>0</v>
      </c>
      <c r="D142" s="10">
        <v>0</v>
      </c>
      <c r="E142" s="16">
        <v>0</v>
      </c>
      <c r="F142" s="15">
        <v>8.2506216983447705E-3</v>
      </c>
      <c r="G142" s="15">
        <v>0</v>
      </c>
      <c r="H142" s="10" t="s">
        <v>260</v>
      </c>
      <c r="I142" s="10">
        <f>W32</f>
        <v>40</v>
      </c>
      <c r="J142" s="10">
        <v>0</v>
      </c>
      <c r="K142" s="15">
        <f t="shared" si="3"/>
        <v>0</v>
      </c>
    </row>
    <row r="143" spans="1:11" x14ac:dyDescent="0.25">
      <c r="A143" s="10" t="s">
        <v>26</v>
      </c>
      <c r="B143" s="10" t="s">
        <v>242</v>
      </c>
      <c r="C143" s="10">
        <v>0</v>
      </c>
      <c r="D143" s="10">
        <v>0</v>
      </c>
      <c r="E143" s="16">
        <v>0</v>
      </c>
      <c r="F143" s="15">
        <v>0</v>
      </c>
      <c r="G143" s="15">
        <v>0</v>
      </c>
      <c r="H143" s="10" t="s">
        <v>26</v>
      </c>
      <c r="I143" s="10">
        <f>I142+I69</f>
        <v>100</v>
      </c>
      <c r="J143" s="10">
        <v>0</v>
      </c>
      <c r="K143" s="15">
        <f t="shared" si="3"/>
        <v>0</v>
      </c>
    </row>
    <row r="144" spans="1:11" x14ac:dyDescent="0.25">
      <c r="A144" t="s">
        <v>331</v>
      </c>
      <c r="B144" t="s">
        <v>242</v>
      </c>
      <c r="E144" s="1"/>
      <c r="F144" s="5">
        <v>2.84722354557944E-9</v>
      </c>
      <c r="G144" s="5">
        <v>2.4024430751293301E-9</v>
      </c>
      <c r="K144" s="5"/>
    </row>
    <row r="145" spans="1:11" x14ac:dyDescent="0.25">
      <c r="A145" t="s">
        <v>332</v>
      </c>
      <c r="B145" t="s">
        <v>242</v>
      </c>
      <c r="C145">
        <v>0.99224117218764996</v>
      </c>
      <c r="D145">
        <v>0.98839303633375497</v>
      </c>
      <c r="E145" s="1">
        <v>0</v>
      </c>
      <c r="F145" s="5">
        <v>2.9430134818814999E-2</v>
      </c>
      <c r="G145" s="5">
        <v>0</v>
      </c>
      <c r="K145" s="5"/>
    </row>
    <row r="146" spans="1:11" x14ac:dyDescent="0.25">
      <c r="A146" t="s">
        <v>4</v>
      </c>
      <c r="C146">
        <v>0</v>
      </c>
      <c r="D146" s="1">
        <v>1.20468840937249E-5</v>
      </c>
      <c r="E146" s="1">
        <v>0</v>
      </c>
      <c r="F146" s="5"/>
      <c r="G146" s="5"/>
      <c r="K146" s="5"/>
    </row>
    <row r="147" spans="1:11" x14ac:dyDescent="0.25">
      <c r="A147" t="s">
        <v>142</v>
      </c>
      <c r="C147">
        <v>0</v>
      </c>
      <c r="D147" s="1">
        <v>1.9100772246274599E-7</v>
      </c>
      <c r="E147" s="1">
        <v>0</v>
      </c>
      <c r="F147" s="5">
        <v>0.80742600004348697</v>
      </c>
      <c r="G147" s="5">
        <v>0.12449336976842799</v>
      </c>
      <c r="K147" s="5"/>
    </row>
    <row r="148" spans="1:11" x14ac:dyDescent="0.25">
      <c r="A148" t="s">
        <v>141</v>
      </c>
      <c r="C148">
        <v>1.05554712231002E-3</v>
      </c>
      <c r="D148" s="1">
        <v>4.1521147649381002E-7</v>
      </c>
      <c r="E148">
        <v>0</v>
      </c>
      <c r="F148" s="5">
        <v>9.5923718463851692E-6</v>
      </c>
      <c r="G148" s="5">
        <v>4.1433121612554403E-11</v>
      </c>
      <c r="K148" s="5"/>
    </row>
    <row r="149" spans="1:11" x14ac:dyDescent="0.25">
      <c r="A149" t="s">
        <v>140</v>
      </c>
      <c r="C149">
        <v>0</v>
      </c>
      <c r="D149" s="1">
        <v>6.0407252883087503E-5</v>
      </c>
      <c r="E149">
        <v>0</v>
      </c>
      <c r="F149" s="5">
        <v>1.2330859017013601E-13</v>
      </c>
      <c r="G149" s="5">
        <v>6.6794435545069999E-21</v>
      </c>
      <c r="K149" s="5"/>
    </row>
    <row r="150" spans="1:11" x14ac:dyDescent="0.25">
      <c r="A150" t="s">
        <v>139</v>
      </c>
      <c r="C150">
        <v>0</v>
      </c>
      <c r="D150">
        <v>9.2488664944256405E-4</v>
      </c>
      <c r="E150" s="1">
        <v>0</v>
      </c>
      <c r="F150" s="5">
        <v>3.3061353460458298E-7</v>
      </c>
      <c r="G150" s="5">
        <v>6.7254780150147402E-18</v>
      </c>
      <c r="K150" s="5"/>
    </row>
    <row r="151" spans="1:11" x14ac:dyDescent="0.25">
      <c r="A151" t="s">
        <v>138</v>
      </c>
      <c r="C151">
        <v>0</v>
      </c>
      <c r="D151">
        <v>6.4964444125581498E-4</v>
      </c>
      <c r="E151">
        <v>0</v>
      </c>
      <c r="F151" s="5">
        <v>2.9697043852227998E-14</v>
      </c>
      <c r="G151" s="5">
        <v>5.7065039800697298E-15</v>
      </c>
      <c r="K151" s="5"/>
    </row>
    <row r="152" spans="1:11" x14ac:dyDescent="0.25">
      <c r="A152" t="s">
        <v>137</v>
      </c>
      <c r="C152">
        <v>0</v>
      </c>
      <c r="D152" s="1">
        <v>1.59259084274008E-9</v>
      </c>
      <c r="E152">
        <v>0</v>
      </c>
      <c r="F152" s="5">
        <v>6.0067670773879902E-13</v>
      </c>
      <c r="G152" s="5">
        <v>7.3283302861446802E-14</v>
      </c>
      <c r="K152" s="5"/>
    </row>
    <row r="153" spans="1:11" x14ac:dyDescent="0.25">
      <c r="A153" t="s">
        <v>136</v>
      </c>
      <c r="C153">
        <v>0</v>
      </c>
      <c r="D153">
        <v>0</v>
      </c>
      <c r="E153" s="1">
        <v>0</v>
      </c>
      <c r="F153" s="5">
        <v>2.8739580471031999E-10</v>
      </c>
      <c r="G153" s="5">
        <v>2.8503212723258299E-12</v>
      </c>
      <c r="K153" s="5"/>
    </row>
    <row r="154" spans="1:11" x14ac:dyDescent="0.25">
      <c r="A154" t="s">
        <v>135</v>
      </c>
      <c r="C154" s="1">
        <v>0</v>
      </c>
      <c r="D154">
        <v>0</v>
      </c>
      <c r="E154" s="1">
        <v>0</v>
      </c>
      <c r="F154" s="5">
        <v>1.19525279425223E-14</v>
      </c>
      <c r="G154" s="5">
        <v>6.5320845630363505E-16</v>
      </c>
      <c r="K154" s="5"/>
    </row>
    <row r="155" spans="1:11" x14ac:dyDescent="0.25">
      <c r="A155" t="s">
        <v>134</v>
      </c>
      <c r="C155">
        <v>1.11660990998564E-4</v>
      </c>
      <c r="D155">
        <v>2.0276291969813299E-4</v>
      </c>
      <c r="E155" s="1">
        <v>0</v>
      </c>
      <c r="F155" s="5">
        <v>1.2120722851416E-14</v>
      </c>
      <c r="G155" s="5">
        <v>0</v>
      </c>
      <c r="K155" s="5"/>
    </row>
    <row r="156" spans="1:11" x14ac:dyDescent="0.25">
      <c r="A156" t="s">
        <v>133</v>
      </c>
      <c r="C156">
        <v>0</v>
      </c>
      <c r="D156">
        <v>0</v>
      </c>
      <c r="E156" s="1">
        <v>0</v>
      </c>
      <c r="F156" s="5">
        <v>1.75726527587497E-3</v>
      </c>
      <c r="G156" s="5">
        <v>0</v>
      </c>
      <c r="K156" s="5"/>
    </row>
    <row r="157" spans="1:11" x14ac:dyDescent="0.25">
      <c r="A157" t="s">
        <v>132</v>
      </c>
      <c r="C157">
        <v>0</v>
      </c>
      <c r="D157">
        <v>2.44602480231576E-3</v>
      </c>
      <c r="E157" s="1">
        <v>0</v>
      </c>
      <c r="F157" s="5">
        <v>3.9464065010562897E-2</v>
      </c>
      <c r="G157" s="5">
        <v>0.17743042674603399</v>
      </c>
      <c r="K157" s="5"/>
    </row>
    <row r="158" spans="1:11" x14ac:dyDescent="0.25">
      <c r="A158" t="s">
        <v>131</v>
      </c>
      <c r="C158">
        <v>0</v>
      </c>
      <c r="D158">
        <v>3.2040625815417601E-4</v>
      </c>
      <c r="E158" s="1">
        <v>0</v>
      </c>
      <c r="F158" s="5">
        <v>8.4469045645149397E-15</v>
      </c>
      <c r="G158" s="5">
        <v>0</v>
      </c>
      <c r="K158" s="5"/>
    </row>
    <row r="159" spans="1:11" x14ac:dyDescent="0.25">
      <c r="A159" t="s">
        <v>130</v>
      </c>
      <c r="C159" s="1">
        <v>0</v>
      </c>
      <c r="D159" s="1">
        <v>6.6187029089195599E-6</v>
      </c>
      <c r="E159" s="1">
        <v>0</v>
      </c>
      <c r="F159" s="5">
        <v>9.8660146751524801E-4</v>
      </c>
      <c r="G159" s="5">
        <v>0.14168325775607299</v>
      </c>
      <c r="K159" s="5"/>
    </row>
    <row r="160" spans="1:11" x14ac:dyDescent="0.25">
      <c r="A160" t="s">
        <v>129</v>
      </c>
      <c r="C160" s="1">
        <v>0</v>
      </c>
      <c r="D160" s="1">
        <v>5.3901659527228299E-22</v>
      </c>
      <c r="E160" s="1">
        <v>0</v>
      </c>
      <c r="F160" s="5">
        <v>2.5512537912662802E-4</v>
      </c>
      <c r="G160" s="5">
        <v>4.6797985709126801E-7</v>
      </c>
      <c r="K160" s="5"/>
    </row>
    <row r="161" spans="1:11" x14ac:dyDescent="0.25">
      <c r="A161" t="s">
        <v>128</v>
      </c>
      <c r="C161">
        <v>0</v>
      </c>
      <c r="D161" s="1">
        <v>9.6813123742733008E-22</v>
      </c>
      <c r="E161">
        <v>0</v>
      </c>
      <c r="F161" s="5">
        <v>8.1723569044210099E-14</v>
      </c>
      <c r="G161" s="5">
        <v>3.0807890962203598E-20</v>
      </c>
      <c r="K161" s="5"/>
    </row>
    <row r="162" spans="1:11" x14ac:dyDescent="0.25">
      <c r="A162" t="s">
        <v>127</v>
      </c>
      <c r="C162" s="1">
        <v>0</v>
      </c>
      <c r="D162" s="1">
        <v>4.6907218640758999E-21</v>
      </c>
      <c r="E162" s="1">
        <v>0</v>
      </c>
      <c r="F162" s="5">
        <v>0</v>
      </c>
      <c r="G162" s="5">
        <v>0</v>
      </c>
      <c r="K162" s="5"/>
    </row>
    <row r="163" spans="1:11" x14ac:dyDescent="0.25">
      <c r="A163" t="s">
        <v>126</v>
      </c>
      <c r="C163" s="1">
        <v>0</v>
      </c>
      <c r="D163" s="1">
        <v>4.78945150217834E-23</v>
      </c>
      <c r="E163" s="1">
        <v>0</v>
      </c>
      <c r="F163" s="5">
        <v>7.9473176047053393E-12</v>
      </c>
      <c r="G163" s="5">
        <v>2.98939087921098E-18</v>
      </c>
      <c r="K163" s="5"/>
    </row>
    <row r="164" spans="1:11" x14ac:dyDescent="0.25">
      <c r="A164" t="s">
        <v>125</v>
      </c>
      <c r="C164" s="1">
        <v>0</v>
      </c>
      <c r="D164" s="1">
        <v>5.2953006553155599E-6</v>
      </c>
      <c r="E164" s="1">
        <v>0</v>
      </c>
      <c r="F164" s="5">
        <v>1.09240159194405E-11</v>
      </c>
      <c r="G164" s="5">
        <v>1.62550811893524E-90</v>
      </c>
      <c r="K164" s="5"/>
    </row>
    <row r="165" spans="1:11" x14ac:dyDescent="0.25">
      <c r="A165" t="s">
        <v>124</v>
      </c>
      <c r="C165" s="1">
        <v>0</v>
      </c>
      <c r="D165" s="1">
        <v>9.8551429958473304E-6</v>
      </c>
      <c r="E165" s="1">
        <v>0</v>
      </c>
      <c r="F165" s="5">
        <v>7.9401043316109795E-12</v>
      </c>
      <c r="G165" s="5">
        <v>1.1814981002780899E-90</v>
      </c>
      <c r="K165" s="5"/>
    </row>
    <row r="166" spans="1:11" x14ac:dyDescent="0.25">
      <c r="A166" t="s">
        <v>123</v>
      </c>
      <c r="C166" s="1">
        <v>0</v>
      </c>
      <c r="D166" s="1">
        <v>2.01522392768388E-20</v>
      </c>
      <c r="E166" s="1">
        <v>0</v>
      </c>
      <c r="F166" s="5">
        <v>6.4933390458430198E-11</v>
      </c>
      <c r="G166" s="5">
        <v>6.4874413634213697E-17</v>
      </c>
      <c r="K166" s="5"/>
    </row>
    <row r="167" spans="1:11" x14ac:dyDescent="0.25">
      <c r="A167" t="s">
        <v>122</v>
      </c>
      <c r="C167" s="1">
        <v>0</v>
      </c>
      <c r="D167" s="1">
        <v>6.91286751196294E-6</v>
      </c>
      <c r="E167" s="1">
        <v>0</v>
      </c>
      <c r="F167" s="5">
        <v>7.8471906278908406E-6</v>
      </c>
      <c r="G167" s="5">
        <v>7.3240378528504905E-14</v>
      </c>
      <c r="K167" s="5"/>
    </row>
    <row r="168" spans="1:11" x14ac:dyDescent="0.25">
      <c r="A168" t="s">
        <v>121</v>
      </c>
      <c r="C168" s="1">
        <v>0</v>
      </c>
      <c r="D168" s="1">
        <v>2.5299770081552101E-5</v>
      </c>
      <c r="E168" s="1">
        <v>0</v>
      </c>
      <c r="F168" s="5">
        <v>7.8919915035956207E-12</v>
      </c>
      <c r="G168" s="5">
        <v>1.17433884738605E-90</v>
      </c>
      <c r="K168" s="5"/>
    </row>
    <row r="169" spans="1:11" x14ac:dyDescent="0.25">
      <c r="A169" t="s">
        <v>120</v>
      </c>
      <c r="C169" s="1">
        <v>0</v>
      </c>
      <c r="D169" s="1">
        <v>1.0296418056445601E-5</v>
      </c>
      <c r="E169" s="1">
        <v>0</v>
      </c>
      <c r="F169" s="5">
        <v>8.0079054335140199E-12</v>
      </c>
      <c r="G169" s="5">
        <v>1.1915869945481899E-90</v>
      </c>
      <c r="K169" s="5"/>
    </row>
    <row r="170" spans="1:11" x14ac:dyDescent="0.25">
      <c r="A170" t="s">
        <v>119</v>
      </c>
      <c r="C170" s="1">
        <v>0</v>
      </c>
      <c r="D170" s="1">
        <v>6.7662175799499797E-6</v>
      </c>
      <c r="E170" s="1">
        <v>0</v>
      </c>
      <c r="F170" s="5">
        <v>3.1903279416650498E-14</v>
      </c>
      <c r="G170" s="5">
        <v>4.7472504704186802E-93</v>
      </c>
      <c r="K170" s="5"/>
    </row>
    <row r="171" spans="1:11" x14ac:dyDescent="0.25">
      <c r="A171" t="s">
        <v>118</v>
      </c>
      <c r="C171" s="1">
        <v>0</v>
      </c>
      <c r="D171" s="1">
        <v>1.0884784802528201E-5</v>
      </c>
      <c r="E171" s="1">
        <v>0</v>
      </c>
      <c r="F171" s="5">
        <v>8.1985573731452103E-6</v>
      </c>
      <c r="G171" s="5">
        <v>1.2199562571020599E-84</v>
      </c>
      <c r="K171" s="5"/>
    </row>
    <row r="172" spans="1:11" x14ac:dyDescent="0.25">
      <c r="A172" t="s">
        <v>117</v>
      </c>
      <c r="C172">
        <v>0</v>
      </c>
      <c r="D172" s="1">
        <v>1.08840891999278E-5</v>
      </c>
      <c r="E172" s="1">
        <v>0</v>
      </c>
      <c r="F172" s="5">
        <v>1.4608749646085901E-13</v>
      </c>
      <c r="G172" s="5">
        <v>2.1738014053005199E-92</v>
      </c>
      <c r="K172" s="5"/>
    </row>
    <row r="173" spans="1:11" x14ac:dyDescent="0.25">
      <c r="A173" t="s">
        <v>116</v>
      </c>
      <c r="C173">
        <v>0</v>
      </c>
      <c r="D173" s="1">
        <v>7.0604009529912702E-6</v>
      </c>
      <c r="E173">
        <v>0</v>
      </c>
      <c r="F173" s="5">
        <v>3.1528272788342902E-14</v>
      </c>
      <c r="G173" s="5">
        <v>4.6914489846405599E-93</v>
      </c>
      <c r="K173" s="5"/>
    </row>
    <row r="174" spans="1:11" x14ac:dyDescent="0.25">
      <c r="A174" t="s">
        <v>115</v>
      </c>
      <c r="C174">
        <v>0</v>
      </c>
      <c r="D174" s="1">
        <v>3.6770571868277601E-5</v>
      </c>
      <c r="E174" s="1">
        <v>0</v>
      </c>
      <c r="F174" s="5">
        <v>1.5034690737528899E-13</v>
      </c>
      <c r="G174" s="5">
        <v>9.1136891428302395E-20</v>
      </c>
      <c r="K174" s="5"/>
    </row>
    <row r="175" spans="1:11" x14ac:dyDescent="0.25">
      <c r="A175" t="s">
        <v>114</v>
      </c>
      <c r="C175">
        <v>0</v>
      </c>
      <c r="D175" s="1">
        <v>6.91330926647063E-6</v>
      </c>
      <c r="E175" s="1">
        <v>0</v>
      </c>
      <c r="F175" s="5">
        <v>3.9699399905396399E-11</v>
      </c>
      <c r="G175" s="5">
        <v>5.9073235831007603E-90</v>
      </c>
      <c r="K175" s="5"/>
    </row>
    <row r="176" spans="1:11" x14ac:dyDescent="0.25">
      <c r="A176" t="s">
        <v>113</v>
      </c>
      <c r="C176" s="1">
        <v>0</v>
      </c>
      <c r="D176" s="1">
        <v>1.6327177202075399E-5</v>
      </c>
      <c r="E176" s="1">
        <v>0</v>
      </c>
      <c r="F176" s="5">
        <v>2.9278691039668701E-5</v>
      </c>
      <c r="G176" s="5">
        <v>2.7320044436186898E-13</v>
      </c>
      <c r="K176" s="5"/>
    </row>
    <row r="177" spans="1:11" x14ac:dyDescent="0.25">
      <c r="A177" t="s">
        <v>112</v>
      </c>
      <c r="C177">
        <v>0</v>
      </c>
      <c r="D177" s="1">
        <v>1.2222641234601901E-7</v>
      </c>
      <c r="E177" s="1">
        <v>0</v>
      </c>
      <c r="F177" s="5">
        <v>5.50474566482606E-6</v>
      </c>
      <c r="G177" s="5">
        <v>8.19113486911381E-85</v>
      </c>
      <c r="K177" s="5"/>
    </row>
    <row r="178" spans="1:11" x14ac:dyDescent="0.25">
      <c r="A178" t="s">
        <v>111</v>
      </c>
      <c r="C178">
        <v>0</v>
      </c>
      <c r="D178">
        <v>1.09727690385342E-3</v>
      </c>
      <c r="E178" s="1">
        <v>0</v>
      </c>
      <c r="F178" s="5">
        <v>1.7931216914249401E-13</v>
      </c>
      <c r="G178" s="5">
        <v>1.6735787067649501E-21</v>
      </c>
      <c r="K178" s="5"/>
    </row>
    <row r="179" spans="1:11" x14ac:dyDescent="0.25">
      <c r="A179" t="s">
        <v>110</v>
      </c>
      <c r="C179">
        <v>0</v>
      </c>
      <c r="D179" s="1">
        <v>1.2867386549091099E-22</v>
      </c>
      <c r="E179" s="1">
        <v>0</v>
      </c>
      <c r="F179" s="5">
        <v>1.14219301569712E-7</v>
      </c>
      <c r="G179" s="5">
        <v>1.6345929959634799E-3</v>
      </c>
      <c r="K179" s="5"/>
    </row>
    <row r="180" spans="1:11" x14ac:dyDescent="0.25">
      <c r="A180" t="s">
        <v>109</v>
      </c>
      <c r="C180">
        <v>0</v>
      </c>
      <c r="D180" s="1">
        <v>6.7629871333058397E-22</v>
      </c>
      <c r="E180">
        <v>0</v>
      </c>
      <c r="F180" s="5">
        <v>1.0030448024571301E-3</v>
      </c>
      <c r="G180" s="5">
        <v>0.54846092419792603</v>
      </c>
      <c r="K180" s="5"/>
    </row>
    <row r="181" spans="1:11" x14ac:dyDescent="0.25">
      <c r="A181" t="s">
        <v>108</v>
      </c>
      <c r="C181">
        <v>0</v>
      </c>
      <c r="D181">
        <v>1.05767040319834E-4</v>
      </c>
      <c r="E181">
        <v>0</v>
      </c>
      <c r="F181" s="5">
        <v>0</v>
      </c>
      <c r="G181" s="5">
        <v>0</v>
      </c>
      <c r="K181" s="5"/>
    </row>
    <row r="182" spans="1:11" x14ac:dyDescent="0.25">
      <c r="A182" t="s">
        <v>107</v>
      </c>
      <c r="C182">
        <v>0</v>
      </c>
      <c r="D182" s="1">
        <v>3.2525956039800099E-21</v>
      </c>
      <c r="E182">
        <v>0</v>
      </c>
      <c r="F182" s="5">
        <v>0</v>
      </c>
      <c r="G182" s="5">
        <v>0</v>
      </c>
      <c r="K182" s="5"/>
    </row>
    <row r="183" spans="1:11" x14ac:dyDescent="0.25">
      <c r="A183" t="s">
        <v>106</v>
      </c>
      <c r="C183">
        <v>0</v>
      </c>
      <c r="D183" s="1">
        <v>3.8043649612143902E-11</v>
      </c>
      <c r="E183">
        <v>0</v>
      </c>
      <c r="F183" s="5">
        <v>3.7594772675054602E-10</v>
      </c>
      <c r="G183" s="5">
        <v>1.15327576379417E-8</v>
      </c>
      <c r="K183" s="5"/>
    </row>
    <row r="184" spans="1:11" x14ac:dyDescent="0.25">
      <c r="A184" t="s">
        <v>105</v>
      </c>
      <c r="C184">
        <v>0</v>
      </c>
      <c r="D184" s="1">
        <v>6.3192755297385699E-19</v>
      </c>
      <c r="E184" s="1">
        <v>0</v>
      </c>
      <c r="F184" s="5">
        <v>0</v>
      </c>
      <c r="G184" s="5">
        <v>0</v>
      </c>
      <c r="K184" s="5"/>
    </row>
    <row r="185" spans="1:11" x14ac:dyDescent="0.25">
      <c r="A185" t="s">
        <v>104</v>
      </c>
      <c r="C185">
        <v>0</v>
      </c>
      <c r="D185">
        <v>0</v>
      </c>
      <c r="E185" s="1">
        <v>0</v>
      </c>
      <c r="F185" s="5">
        <v>1.8590891428459499E-10</v>
      </c>
      <c r="G185" s="5">
        <v>8.8551114676153195E-9</v>
      </c>
      <c r="K185" s="5"/>
    </row>
    <row r="186" spans="1:11" x14ac:dyDescent="0.25">
      <c r="A186" t="s">
        <v>103</v>
      </c>
      <c r="C186">
        <v>0</v>
      </c>
      <c r="D186">
        <v>0</v>
      </c>
      <c r="E186">
        <v>0</v>
      </c>
      <c r="F186" s="5">
        <v>0</v>
      </c>
      <c r="G186" s="5">
        <v>0</v>
      </c>
      <c r="K186" s="5"/>
    </row>
    <row r="187" spans="1:11" x14ac:dyDescent="0.25">
      <c r="A187" t="s">
        <v>102</v>
      </c>
      <c r="C187" s="1">
        <v>0</v>
      </c>
      <c r="D187" s="1">
        <v>0</v>
      </c>
      <c r="E187" s="1">
        <v>0</v>
      </c>
      <c r="F187" s="5">
        <v>1.1652991467694001E-12</v>
      </c>
      <c r="G187" s="5">
        <v>1.1724819687119001E-17</v>
      </c>
      <c r="K187" s="5"/>
    </row>
    <row r="188" spans="1:11" x14ac:dyDescent="0.25">
      <c r="A188" t="s">
        <v>101</v>
      </c>
      <c r="C188" s="1">
        <v>0</v>
      </c>
      <c r="D188" s="1">
        <v>0</v>
      </c>
      <c r="E188" s="1">
        <v>0</v>
      </c>
      <c r="F188" s="5">
        <v>2.5857964186742199E-2</v>
      </c>
      <c r="G188" s="5">
        <v>0</v>
      </c>
      <c r="K188" s="5"/>
    </row>
    <row r="189" spans="1:11" x14ac:dyDescent="0.25">
      <c r="A189" t="s">
        <v>100</v>
      </c>
      <c r="C189">
        <v>2.5802182150069701E-3</v>
      </c>
      <c r="D189">
        <v>7.7438085648792395E-4</v>
      </c>
      <c r="E189" s="1">
        <v>0</v>
      </c>
      <c r="F189" s="5">
        <v>1.0789579158659E-2</v>
      </c>
      <c r="G189" s="5">
        <v>0</v>
      </c>
      <c r="K189" s="5"/>
    </row>
    <row r="190" spans="1:11" x14ac:dyDescent="0.25">
      <c r="A190" t="s">
        <v>99</v>
      </c>
      <c r="C190">
        <v>1.4393771228374699E-3</v>
      </c>
      <c r="D190">
        <v>5.7598543635087795E-4</v>
      </c>
      <c r="E190">
        <v>0</v>
      </c>
      <c r="F190" s="5">
        <v>4.9752899729801504E-3</v>
      </c>
      <c r="G190" s="5">
        <v>0</v>
      </c>
      <c r="K190" s="5"/>
    </row>
    <row r="191" spans="1:11" x14ac:dyDescent="0.25">
      <c r="A191" t="s">
        <v>98</v>
      </c>
      <c r="C191" s="1">
        <v>0</v>
      </c>
      <c r="D191" s="1">
        <v>0</v>
      </c>
      <c r="E191" s="1">
        <v>0</v>
      </c>
      <c r="F191" s="5">
        <v>6.1660335139967701E-4</v>
      </c>
      <c r="G191" s="5">
        <v>9.1751399966303806E-83</v>
      </c>
      <c r="K191" s="5"/>
    </row>
    <row r="192" spans="1:11" x14ac:dyDescent="0.25">
      <c r="A192" t="s">
        <v>97</v>
      </c>
      <c r="C192" s="1">
        <v>8.5909374549043795E-6</v>
      </c>
      <c r="D192" s="1">
        <v>8.5944378214086601E-7</v>
      </c>
      <c r="E192" s="1">
        <v>0</v>
      </c>
      <c r="F192" s="5">
        <v>4.5863033365325901E-4</v>
      </c>
      <c r="G192" s="5">
        <v>1.22377561456723E-10</v>
      </c>
      <c r="K192" s="5"/>
    </row>
    <row r="193" spans="1:11" x14ac:dyDescent="0.25">
      <c r="A193" t="s">
        <v>96</v>
      </c>
      <c r="C193" s="1">
        <v>9.43180385778126E-6</v>
      </c>
      <c r="D193" s="1">
        <v>9.4356468342284801E-7</v>
      </c>
      <c r="E193">
        <v>0</v>
      </c>
      <c r="F193" s="5">
        <v>0</v>
      </c>
      <c r="G193" s="5">
        <v>0</v>
      </c>
      <c r="K193" s="5"/>
    </row>
    <row r="194" spans="1:11" x14ac:dyDescent="0.25">
      <c r="A194" t="s">
        <v>95</v>
      </c>
      <c r="C194" s="1">
        <v>0</v>
      </c>
      <c r="D194" s="1">
        <v>2.8144522401844701E-7</v>
      </c>
      <c r="E194" s="1">
        <v>0</v>
      </c>
      <c r="F194" s="5">
        <v>6.8433499093857798E-7</v>
      </c>
      <c r="G194" s="5">
        <v>5.6881830204209003E-23</v>
      </c>
      <c r="K194" s="5"/>
    </row>
    <row r="195" spans="1:11" x14ac:dyDescent="0.25">
      <c r="A195" t="s">
        <v>94</v>
      </c>
      <c r="C195">
        <v>0</v>
      </c>
      <c r="D195">
        <v>0</v>
      </c>
      <c r="E195">
        <v>0</v>
      </c>
      <c r="F195" s="5">
        <v>7.5131654041602201E-7</v>
      </c>
      <c r="G195" s="5">
        <v>5.7995076935473902E-22</v>
      </c>
      <c r="K195" s="5"/>
    </row>
    <row r="196" spans="1:11" x14ac:dyDescent="0.25">
      <c r="A196" t="s">
        <v>93</v>
      </c>
      <c r="C196" s="1">
        <v>1.2834671985784899E-5</v>
      </c>
      <c r="D196" s="1">
        <v>1.2839901456508801E-6</v>
      </c>
      <c r="E196" s="1">
        <v>0</v>
      </c>
      <c r="F196" s="5">
        <v>2.24101711280087E-7</v>
      </c>
      <c r="G196" s="5">
        <v>2.2499190784658399E-13</v>
      </c>
      <c r="K196" s="5"/>
    </row>
    <row r="197" spans="1:11" x14ac:dyDescent="0.25">
      <c r="A197" t="s">
        <v>92</v>
      </c>
      <c r="C197" s="1">
        <v>0</v>
      </c>
      <c r="D197">
        <v>1.4399635950289601E-4</v>
      </c>
      <c r="E197" s="1">
        <v>0</v>
      </c>
      <c r="F197" s="5">
        <v>0</v>
      </c>
      <c r="G197" s="5">
        <v>0</v>
      </c>
      <c r="K197" s="5"/>
    </row>
    <row r="198" spans="1:11" x14ac:dyDescent="0.25">
      <c r="A198" t="s">
        <v>91</v>
      </c>
      <c r="C198">
        <v>0</v>
      </c>
      <c r="D198">
        <v>0</v>
      </c>
      <c r="E198">
        <v>0</v>
      </c>
      <c r="F198" s="5">
        <v>1.0223814552482299E-6</v>
      </c>
      <c r="G198" s="5">
        <v>7.6925529237627105E-19</v>
      </c>
      <c r="K198" s="5"/>
    </row>
    <row r="199" spans="1:11" x14ac:dyDescent="0.25">
      <c r="A199" t="s">
        <v>90</v>
      </c>
      <c r="C199">
        <v>0</v>
      </c>
      <c r="D199" s="1">
        <v>9.4267423912970894E-8</v>
      </c>
      <c r="E199">
        <v>0</v>
      </c>
      <c r="F199" s="5">
        <v>1.14657583689894E-4</v>
      </c>
      <c r="G199" s="5">
        <v>1.2809794096017701E-12</v>
      </c>
      <c r="K199" s="5"/>
    </row>
    <row r="200" spans="1:11" x14ac:dyDescent="0.25">
      <c r="A200" t="s">
        <v>89</v>
      </c>
      <c r="C200">
        <v>0</v>
      </c>
      <c r="D200">
        <v>0</v>
      </c>
      <c r="E200" s="1">
        <v>0</v>
      </c>
      <c r="F200" s="5">
        <v>0</v>
      </c>
      <c r="G200" s="5">
        <v>0</v>
      </c>
      <c r="K200" s="5"/>
    </row>
    <row r="201" spans="1:11" x14ac:dyDescent="0.25">
      <c r="A201" t="s">
        <v>88</v>
      </c>
      <c r="C201">
        <v>0</v>
      </c>
      <c r="D201">
        <v>2.01375274023902E-3</v>
      </c>
      <c r="E201">
        <v>0</v>
      </c>
      <c r="F201" s="5">
        <v>7.5060756292232403E-8</v>
      </c>
      <c r="G201" s="5">
        <v>5.1547902396900197E-15</v>
      </c>
      <c r="K201" s="5"/>
    </row>
    <row r="202" spans="1:11" x14ac:dyDescent="0.25">
      <c r="A202" t="s">
        <v>87</v>
      </c>
      <c r="C202">
        <v>1.55270470322288E-4</v>
      </c>
      <c r="D202" s="1">
        <v>1.3818344267548001E-5</v>
      </c>
      <c r="E202">
        <v>0</v>
      </c>
      <c r="F202" s="5">
        <v>0</v>
      </c>
      <c r="G202" s="5">
        <v>0</v>
      </c>
      <c r="K202" s="5"/>
    </row>
    <row r="203" spans="1:11" x14ac:dyDescent="0.25">
      <c r="A203" t="s">
        <v>86</v>
      </c>
      <c r="C203">
        <v>2.9408235002984699E-4</v>
      </c>
      <c r="D203" s="1">
        <v>4.3667940700164798E-8</v>
      </c>
      <c r="E203">
        <v>0</v>
      </c>
      <c r="F203" s="5">
        <v>1.6260651974695801E-3</v>
      </c>
      <c r="G203" s="5">
        <v>1.9300394541963901E-3</v>
      </c>
      <c r="K203" s="5"/>
    </row>
    <row r="204" spans="1:11" x14ac:dyDescent="0.25">
      <c r="A204" t="s">
        <v>85</v>
      </c>
      <c r="C204">
        <v>0</v>
      </c>
      <c r="D204">
        <v>0</v>
      </c>
      <c r="E204">
        <v>0</v>
      </c>
      <c r="F204" s="5">
        <v>1.2045062001341701E-5</v>
      </c>
      <c r="G204" s="5">
        <v>3.4279819741997401E-5</v>
      </c>
      <c r="K204" s="5"/>
    </row>
    <row r="205" spans="1:11" x14ac:dyDescent="0.25">
      <c r="A205" t="s">
        <v>84</v>
      </c>
      <c r="C205">
        <v>2.0918141275465501E-3</v>
      </c>
      <c r="D205">
        <v>2.0926664345436801E-3</v>
      </c>
      <c r="E205">
        <v>0</v>
      </c>
      <c r="F205" s="5">
        <v>7.6533590285196001E-5</v>
      </c>
      <c r="G205" s="5">
        <v>4.3026034845982299E-3</v>
      </c>
      <c r="K205" s="5"/>
    </row>
    <row r="206" spans="1:11" x14ac:dyDescent="0.25">
      <c r="A206" t="s">
        <v>83</v>
      </c>
      <c r="C206">
        <v>0</v>
      </c>
      <c r="D206">
        <v>0</v>
      </c>
      <c r="E206">
        <v>0</v>
      </c>
      <c r="F206" s="5">
        <v>4.8244275908194398E-5</v>
      </c>
      <c r="G206" s="5">
        <v>0</v>
      </c>
      <c r="K206" s="5"/>
    </row>
    <row r="207" spans="1:11" x14ac:dyDescent="0.25">
      <c r="A207" t="s">
        <v>82</v>
      </c>
      <c r="C207">
        <v>0</v>
      </c>
      <c r="D207">
        <v>0</v>
      </c>
      <c r="E207">
        <v>0</v>
      </c>
      <c r="F207" s="5">
        <v>1.6662926596008999E-3</v>
      </c>
      <c r="G207" s="5">
        <v>1.9308581556006901E-17</v>
      </c>
      <c r="K207" s="5"/>
    </row>
    <row r="208" spans="1:11" x14ac:dyDescent="0.25">
      <c r="A208" t="s">
        <v>81</v>
      </c>
      <c r="C208">
        <v>0</v>
      </c>
      <c r="D208">
        <v>0</v>
      </c>
      <c r="E208">
        <v>0</v>
      </c>
      <c r="F208" s="5">
        <v>7.3791422319220105E-4</v>
      </c>
      <c r="G208" s="5">
        <v>2.1625422082978198E-5</v>
      </c>
      <c r="K208" s="5"/>
    </row>
    <row r="209" spans="1:11" x14ac:dyDescent="0.25">
      <c r="A209" t="s">
        <v>80</v>
      </c>
      <c r="C209">
        <v>0</v>
      </c>
      <c r="D209">
        <v>0</v>
      </c>
      <c r="E209">
        <v>0</v>
      </c>
      <c r="F209" s="5">
        <v>1.89320379299783E-8</v>
      </c>
      <c r="G209" s="5">
        <v>1.04357648111038E-10</v>
      </c>
      <c r="K209" s="5"/>
    </row>
    <row r="210" spans="1:11" x14ac:dyDescent="0.25">
      <c r="A210" t="s">
        <v>79</v>
      </c>
      <c r="C210">
        <v>0</v>
      </c>
      <c r="D210">
        <v>0</v>
      </c>
      <c r="E210">
        <v>0</v>
      </c>
      <c r="F210" s="5">
        <v>5.1748918649779398E-4</v>
      </c>
      <c r="G210" s="5">
        <v>7.5574052127550398E-6</v>
      </c>
      <c r="K210" s="5"/>
    </row>
    <row r="211" spans="1:11" x14ac:dyDescent="0.25">
      <c r="A211" t="s">
        <v>78</v>
      </c>
      <c r="C211">
        <v>0</v>
      </c>
      <c r="D211">
        <v>0</v>
      </c>
      <c r="E211">
        <v>0</v>
      </c>
      <c r="F211" s="5">
        <v>1.7741401580248701E-7</v>
      </c>
      <c r="G211" s="5">
        <v>9.6174438409589098E-15</v>
      </c>
      <c r="K211" s="5"/>
    </row>
    <row r="212" spans="1:11" x14ac:dyDescent="0.25">
      <c r="A212" t="s">
        <v>77</v>
      </c>
      <c r="C212">
        <v>0</v>
      </c>
      <c r="D212">
        <v>0</v>
      </c>
      <c r="E212">
        <v>0</v>
      </c>
      <c r="F212" s="5">
        <v>1.6723217384875099E-12</v>
      </c>
      <c r="G212" s="5">
        <v>0</v>
      </c>
      <c r="K212" s="5"/>
    </row>
    <row r="213" spans="1:11" x14ac:dyDescent="0.25">
      <c r="A213" t="s">
        <v>76</v>
      </c>
      <c r="C213">
        <v>0</v>
      </c>
      <c r="D213">
        <v>0</v>
      </c>
      <c r="E213">
        <v>0</v>
      </c>
      <c r="F213" s="5">
        <v>1.93580995899899E-12</v>
      </c>
      <c r="G213" s="5">
        <v>2.8805110027977102E-91</v>
      </c>
      <c r="K213" s="5"/>
    </row>
    <row r="214" spans="1:11" x14ac:dyDescent="0.25">
      <c r="A214" t="s">
        <v>75</v>
      </c>
      <c r="C214">
        <v>0</v>
      </c>
      <c r="D214">
        <v>0</v>
      </c>
      <c r="E214">
        <v>0</v>
      </c>
      <c r="F214" s="5">
        <v>5.6219712744657804E-6</v>
      </c>
      <c r="G214" s="5">
        <v>3.4084917345017101E-12</v>
      </c>
      <c r="K214" s="5"/>
    </row>
    <row r="215" spans="1:11" x14ac:dyDescent="0.25">
      <c r="A215" t="s">
        <v>74</v>
      </c>
      <c r="C215">
        <v>0</v>
      </c>
      <c r="D215">
        <v>0</v>
      </c>
      <c r="E215">
        <v>0</v>
      </c>
      <c r="F215" s="5">
        <v>5.9899152763839397E-6</v>
      </c>
      <c r="G215" s="5">
        <v>8.9130737132750605E-85</v>
      </c>
      <c r="K215" s="5"/>
    </row>
    <row r="216" spans="1:11" x14ac:dyDescent="0.25">
      <c r="A216" t="s">
        <v>73</v>
      </c>
      <c r="C216">
        <v>0</v>
      </c>
      <c r="D216">
        <v>0</v>
      </c>
      <c r="E216">
        <v>0</v>
      </c>
      <c r="F216" s="5">
        <v>6.4325405857442599E-6</v>
      </c>
      <c r="G216" s="5">
        <v>6.0036990273359503E-14</v>
      </c>
      <c r="K216" s="5"/>
    </row>
    <row r="217" spans="1:11" x14ac:dyDescent="0.25">
      <c r="A217" t="s">
        <v>72</v>
      </c>
      <c r="C217">
        <v>0</v>
      </c>
      <c r="D217">
        <v>0</v>
      </c>
      <c r="E217">
        <v>0</v>
      </c>
      <c r="F217" s="5">
        <v>2.1927371488943501E-12</v>
      </c>
      <c r="G217" s="5">
        <v>7.0346915159537597E-22</v>
      </c>
      <c r="K217" s="5"/>
    </row>
    <row r="218" spans="1:11" x14ac:dyDescent="0.25">
      <c r="A218" t="s">
        <v>71</v>
      </c>
      <c r="C218">
        <v>0</v>
      </c>
      <c r="D218">
        <v>0</v>
      </c>
      <c r="E218">
        <v>0</v>
      </c>
      <c r="F218" s="5">
        <v>1.1277662292267001E-12</v>
      </c>
      <c r="G218" s="5">
        <v>7.9493902834925799E-22</v>
      </c>
      <c r="K218" s="5"/>
    </row>
    <row r="219" spans="1:11" x14ac:dyDescent="0.25">
      <c r="A219" t="s">
        <v>70</v>
      </c>
      <c r="C219">
        <v>0</v>
      </c>
      <c r="D219">
        <v>0</v>
      </c>
      <c r="E219">
        <v>0</v>
      </c>
      <c r="F219" s="5">
        <v>7.5019321943629797E-10</v>
      </c>
      <c r="G219" s="5">
        <v>4.3266360448095002E-10</v>
      </c>
      <c r="K219" s="5"/>
    </row>
    <row r="220" spans="1:11" x14ac:dyDescent="0.25">
      <c r="A220" t="s">
        <v>69</v>
      </c>
      <c r="C220">
        <v>0</v>
      </c>
      <c r="D220">
        <v>0</v>
      </c>
      <c r="E220">
        <v>0</v>
      </c>
      <c r="F220" s="5">
        <v>8.1755209924370303E-14</v>
      </c>
      <c r="G220" s="5">
        <v>3.07575320046668E-20</v>
      </c>
      <c r="K220" s="5"/>
    </row>
    <row r="221" spans="1:11" x14ac:dyDescent="0.25">
      <c r="A221" t="s">
        <v>68</v>
      </c>
      <c r="C221">
        <v>0</v>
      </c>
      <c r="D221">
        <v>0</v>
      </c>
      <c r="E221">
        <v>0</v>
      </c>
      <c r="F221" s="5">
        <v>9.9505223067072501E-12</v>
      </c>
      <c r="G221" s="5">
        <v>9.9431766258506606E-18</v>
      </c>
      <c r="K221" s="5"/>
    </row>
    <row r="222" spans="1:11" x14ac:dyDescent="0.25">
      <c r="A222" t="s">
        <v>67</v>
      </c>
      <c r="C222">
        <v>0</v>
      </c>
      <c r="D222">
        <v>0</v>
      </c>
      <c r="E222">
        <v>0</v>
      </c>
      <c r="F222" s="5">
        <v>1.6470335104494101E-12</v>
      </c>
      <c r="G222" s="5">
        <v>2.45080780102987E-91</v>
      </c>
      <c r="K222" s="5"/>
    </row>
    <row r="223" spans="1:11" x14ac:dyDescent="0.25">
      <c r="A223" t="s">
        <v>66</v>
      </c>
      <c r="C223">
        <v>0</v>
      </c>
      <c r="D223">
        <v>0</v>
      </c>
      <c r="E223">
        <v>0</v>
      </c>
      <c r="F223" s="5">
        <v>1.06620058975965E-13</v>
      </c>
      <c r="G223" s="5">
        <v>1.5865206787035E-92</v>
      </c>
      <c r="K223" s="5"/>
    </row>
    <row r="224" spans="1:11" x14ac:dyDescent="0.25">
      <c r="A224" t="s">
        <v>65</v>
      </c>
      <c r="C224">
        <v>0</v>
      </c>
      <c r="D224">
        <v>0</v>
      </c>
      <c r="E224">
        <v>0</v>
      </c>
      <c r="F224" s="5">
        <v>1.2319220246315999E-12</v>
      </c>
      <c r="G224" s="5">
        <v>1.83311638110133E-91</v>
      </c>
      <c r="K224" s="5"/>
    </row>
    <row r="225" spans="1:11" x14ac:dyDescent="0.25">
      <c r="A225" t="s">
        <v>64</v>
      </c>
      <c r="C225">
        <v>0</v>
      </c>
      <c r="D225">
        <v>0</v>
      </c>
      <c r="E225">
        <v>0</v>
      </c>
      <c r="F225" s="5">
        <v>1.3063366682005399E-11</v>
      </c>
      <c r="G225" s="5">
        <v>1.9438463618895399E-90</v>
      </c>
      <c r="K225" s="5"/>
    </row>
    <row r="226" spans="1:11" x14ac:dyDescent="0.25">
      <c r="A226" t="s">
        <v>63</v>
      </c>
      <c r="C226">
        <v>0</v>
      </c>
      <c r="D226">
        <v>0</v>
      </c>
      <c r="E226">
        <v>0</v>
      </c>
      <c r="F226" s="5">
        <v>2.6069799332715899E-10</v>
      </c>
      <c r="G226" s="5">
        <v>9.8078481857366097E-17</v>
      </c>
      <c r="K226" s="5"/>
    </row>
    <row r="227" spans="1:11" x14ac:dyDescent="0.25">
      <c r="A227" t="s">
        <v>62</v>
      </c>
      <c r="C227">
        <v>0</v>
      </c>
      <c r="D227">
        <v>0</v>
      </c>
      <c r="E227">
        <v>0</v>
      </c>
      <c r="F227" s="5">
        <v>2.42600862710828E-7</v>
      </c>
      <c r="G227" s="5">
        <v>7.7830679866734597E-17</v>
      </c>
      <c r="K227" s="5"/>
    </row>
    <row r="228" spans="1:11" x14ac:dyDescent="0.25">
      <c r="A228" t="s">
        <v>61</v>
      </c>
      <c r="C228">
        <v>0</v>
      </c>
      <c r="D228">
        <v>0</v>
      </c>
      <c r="E228">
        <v>0</v>
      </c>
      <c r="F228" s="5">
        <v>2.4356666681269301E-13</v>
      </c>
      <c r="G228" s="5">
        <v>7.8140527033089699E-23</v>
      </c>
      <c r="K228" s="5"/>
    </row>
    <row r="229" spans="1:11" x14ac:dyDescent="0.25">
      <c r="A229" t="s">
        <v>60</v>
      </c>
      <c r="C229">
        <v>0</v>
      </c>
      <c r="D229">
        <v>0</v>
      </c>
      <c r="E229">
        <v>0</v>
      </c>
      <c r="F229" s="5">
        <v>7.7617700558641302E-11</v>
      </c>
      <c r="G229" s="5">
        <v>5.4711107555595194E-20</v>
      </c>
      <c r="K229" s="5"/>
    </row>
    <row r="230" spans="1:11" x14ac:dyDescent="0.25">
      <c r="A230" t="s">
        <v>59</v>
      </c>
      <c r="C230">
        <v>0</v>
      </c>
      <c r="D230">
        <v>0</v>
      </c>
      <c r="E230">
        <v>0</v>
      </c>
      <c r="F230" s="5">
        <v>7.7920090875991995E-7</v>
      </c>
      <c r="G230" s="5">
        <v>4.4939338968195802E-7</v>
      </c>
      <c r="K230" s="5"/>
    </row>
    <row r="231" spans="1:11" x14ac:dyDescent="0.25">
      <c r="A231" t="s">
        <v>58</v>
      </c>
      <c r="C231">
        <v>0</v>
      </c>
      <c r="D231">
        <v>0</v>
      </c>
      <c r="E231">
        <v>0</v>
      </c>
      <c r="F231" s="5">
        <v>1.7519095774299101E-13</v>
      </c>
      <c r="G231" s="5">
        <v>1.01038971408603E-13</v>
      </c>
      <c r="K231" s="5"/>
    </row>
    <row r="232" spans="1:11" x14ac:dyDescent="0.25">
      <c r="A232" t="s">
        <v>57</v>
      </c>
      <c r="C232">
        <v>0</v>
      </c>
      <c r="D232">
        <v>0</v>
      </c>
      <c r="E232">
        <v>0</v>
      </c>
      <c r="F232" s="5">
        <v>1.56284007668813E-6</v>
      </c>
      <c r="G232" s="5">
        <v>1.5616863559004799E-12</v>
      </c>
      <c r="K232" s="5"/>
    </row>
    <row r="233" spans="1:11" x14ac:dyDescent="0.25">
      <c r="A233" t="s">
        <v>56</v>
      </c>
      <c r="C233">
        <v>0</v>
      </c>
      <c r="D233">
        <v>0</v>
      </c>
      <c r="E233">
        <v>0</v>
      </c>
      <c r="F233" s="5">
        <v>5.6430873853388602E-11</v>
      </c>
      <c r="G233" s="5">
        <v>8.3969891918641495E-90</v>
      </c>
      <c r="K233" s="5"/>
    </row>
    <row r="234" spans="1:11" x14ac:dyDescent="0.25">
      <c r="A234" t="s">
        <v>55</v>
      </c>
      <c r="C234">
        <v>0</v>
      </c>
      <c r="D234">
        <v>0</v>
      </c>
      <c r="E234">
        <v>0</v>
      </c>
      <c r="F234" s="5">
        <v>4.0279497862764202E-7</v>
      </c>
      <c r="G234" s="5">
        <v>5.99364293181216E-86</v>
      </c>
      <c r="K234" s="5"/>
    </row>
    <row r="235" spans="1:11" x14ac:dyDescent="0.25">
      <c r="A235" t="s">
        <v>54</v>
      </c>
      <c r="C235">
        <v>0</v>
      </c>
      <c r="D235">
        <v>0</v>
      </c>
      <c r="E235">
        <v>0</v>
      </c>
      <c r="F235" s="5">
        <v>0</v>
      </c>
      <c r="G235" s="5">
        <v>0</v>
      </c>
      <c r="K235" s="5"/>
    </row>
    <row r="236" spans="1:11" x14ac:dyDescent="0.25">
      <c r="A236" t="s">
        <v>53</v>
      </c>
      <c r="C236">
        <v>0</v>
      </c>
      <c r="D236">
        <v>0</v>
      </c>
      <c r="E236">
        <v>0</v>
      </c>
      <c r="F236" s="5">
        <v>2.37652017512169E-8</v>
      </c>
      <c r="G236" s="5">
        <v>3.5362936743793901E-87</v>
      </c>
      <c r="K236" s="5"/>
    </row>
    <row r="237" spans="1:11" x14ac:dyDescent="0.25">
      <c r="A237" t="s">
        <v>52</v>
      </c>
      <c r="C237">
        <v>0</v>
      </c>
      <c r="D237">
        <v>0</v>
      </c>
      <c r="E237">
        <v>0</v>
      </c>
      <c r="F237" s="5">
        <v>2.9829962418821698E-4</v>
      </c>
      <c r="G237" s="5">
        <v>4.4387381396100398E-83</v>
      </c>
      <c r="K237" s="5"/>
    </row>
    <row r="238" spans="1:11" x14ac:dyDescent="0.25">
      <c r="A238" t="s">
        <v>51</v>
      </c>
      <c r="C238">
        <v>0</v>
      </c>
      <c r="D238">
        <v>0</v>
      </c>
      <c r="E238">
        <v>0</v>
      </c>
      <c r="F238" s="5">
        <v>0</v>
      </c>
      <c r="G238" s="5">
        <v>0</v>
      </c>
      <c r="K238" s="5"/>
    </row>
    <row r="239" spans="1:11" x14ac:dyDescent="0.25">
      <c r="A239" t="s">
        <v>50</v>
      </c>
      <c r="C239">
        <v>0</v>
      </c>
      <c r="D239">
        <v>0</v>
      </c>
      <c r="E239">
        <v>0</v>
      </c>
      <c r="F239" s="5">
        <v>4.18852378671018E-15</v>
      </c>
      <c r="G239" s="5">
        <v>0</v>
      </c>
      <c r="K239" s="5"/>
    </row>
    <row r="240" spans="1:11" x14ac:dyDescent="0.25">
      <c r="A240" t="s">
        <v>49</v>
      </c>
      <c r="C240" s="1">
        <v>0</v>
      </c>
      <c r="D240" s="1">
        <v>0</v>
      </c>
      <c r="E240" s="1">
        <v>0</v>
      </c>
      <c r="F240" s="5">
        <v>3.1275891557358902E-14</v>
      </c>
      <c r="G240" s="5">
        <v>6.4861771309789396E-28</v>
      </c>
      <c r="K240" s="5"/>
    </row>
    <row r="241" spans="1:11" x14ac:dyDescent="0.25">
      <c r="A241" t="s">
        <v>48</v>
      </c>
      <c r="C241">
        <v>0</v>
      </c>
      <c r="D241">
        <v>0</v>
      </c>
      <c r="E241">
        <v>0</v>
      </c>
      <c r="F241" s="5">
        <v>5.0971873790158304E-6</v>
      </c>
      <c r="G241" s="5">
        <v>0</v>
      </c>
      <c r="K241" s="5"/>
    </row>
    <row r="242" spans="1:11" x14ac:dyDescent="0.25">
      <c r="A242" t="s">
        <v>47</v>
      </c>
      <c r="C242">
        <v>0</v>
      </c>
      <c r="D242">
        <v>0</v>
      </c>
      <c r="E242">
        <v>0</v>
      </c>
      <c r="F242" s="5">
        <v>1.35506582675833E-9</v>
      </c>
      <c r="G242" s="5">
        <v>0</v>
      </c>
      <c r="K242" s="5"/>
    </row>
    <row r="243" spans="1:11" x14ac:dyDescent="0.25">
      <c r="A243" t="s">
        <v>46</v>
      </c>
      <c r="C243">
        <v>0</v>
      </c>
      <c r="D243">
        <v>0</v>
      </c>
      <c r="E243">
        <v>0</v>
      </c>
      <c r="F243" s="5">
        <v>6.0899208212695097E-6</v>
      </c>
      <c r="G243" s="5">
        <v>0</v>
      </c>
      <c r="K243" s="5"/>
    </row>
    <row r="244" spans="1:11" x14ac:dyDescent="0.25">
      <c r="A244" t="s">
        <v>45</v>
      </c>
      <c r="C244">
        <v>0</v>
      </c>
      <c r="D244">
        <v>0</v>
      </c>
      <c r="E244">
        <v>0</v>
      </c>
      <c r="F244" s="5">
        <v>0</v>
      </c>
      <c r="G244" s="5">
        <v>0</v>
      </c>
      <c r="K244" s="5"/>
    </row>
    <row r="245" spans="1:11" x14ac:dyDescent="0.25">
      <c r="A245" t="s">
        <v>44</v>
      </c>
      <c r="C245" s="1">
        <v>0</v>
      </c>
      <c r="D245" s="1">
        <v>3.00637810258662E-6</v>
      </c>
      <c r="E245" s="1">
        <v>0.33333333333333298</v>
      </c>
      <c r="F245" s="5">
        <v>0</v>
      </c>
      <c r="G245" s="5">
        <v>0</v>
      </c>
      <c r="K245" s="5"/>
    </row>
    <row r="246" spans="1:11" x14ac:dyDescent="0.25">
      <c r="A246" t="s">
        <v>43</v>
      </c>
      <c r="C246">
        <v>0</v>
      </c>
      <c r="D246">
        <v>0</v>
      </c>
      <c r="E246">
        <v>0</v>
      </c>
      <c r="F246" s="5">
        <v>5.6743437985216902E-10</v>
      </c>
      <c r="G246" s="5">
        <v>0</v>
      </c>
      <c r="K246" s="5"/>
    </row>
    <row r="247" spans="1:11" x14ac:dyDescent="0.25">
      <c r="A247" t="s">
        <v>42</v>
      </c>
      <c r="C247">
        <v>0</v>
      </c>
      <c r="D247">
        <v>0</v>
      </c>
      <c r="E247">
        <v>0</v>
      </c>
      <c r="F247" s="5">
        <v>1.57673588001301E-2</v>
      </c>
      <c r="G247" s="5">
        <v>2.3462039906189801E-81</v>
      </c>
      <c r="K247" s="5"/>
    </row>
    <row r="248" spans="1:11" x14ac:dyDescent="0.25">
      <c r="A248" t="s">
        <v>41</v>
      </c>
      <c r="C248">
        <v>0</v>
      </c>
      <c r="D248">
        <v>0</v>
      </c>
      <c r="E248">
        <v>0</v>
      </c>
      <c r="F248" s="5">
        <v>4.7198995822018503E-4</v>
      </c>
      <c r="G248" s="5">
        <v>7.0232734444981705E-83</v>
      </c>
      <c r="K248" s="5"/>
    </row>
    <row r="249" spans="1:11" x14ac:dyDescent="0.25">
      <c r="A249" t="s">
        <v>40</v>
      </c>
      <c r="C249" s="1">
        <v>0</v>
      </c>
      <c r="D249" s="1">
        <v>0</v>
      </c>
      <c r="E249" s="1">
        <v>0</v>
      </c>
      <c r="F249" s="5">
        <v>0</v>
      </c>
      <c r="G249" s="5">
        <v>0</v>
      </c>
      <c r="K249" s="5"/>
    </row>
    <row r="250" spans="1:11" x14ac:dyDescent="0.25">
      <c r="A250" t="s">
        <v>39</v>
      </c>
      <c r="C250">
        <v>0</v>
      </c>
      <c r="D250" s="1">
        <v>1.50318905129331E-6</v>
      </c>
      <c r="E250">
        <v>0.16666666666666699</v>
      </c>
      <c r="F250" s="5">
        <v>0</v>
      </c>
      <c r="G250" s="5">
        <v>0</v>
      </c>
      <c r="K250" s="5"/>
    </row>
    <row r="251" spans="1:11" x14ac:dyDescent="0.25">
      <c r="A251" t="s">
        <v>38</v>
      </c>
      <c r="C251" s="1">
        <v>0</v>
      </c>
      <c r="D251" s="1">
        <v>0</v>
      </c>
      <c r="E251" s="1">
        <v>0</v>
      </c>
      <c r="F251" s="5">
        <v>0</v>
      </c>
      <c r="G251" s="5">
        <v>0</v>
      </c>
      <c r="K251" s="5"/>
    </row>
    <row r="252" spans="1:11" x14ac:dyDescent="0.25">
      <c r="A252" t="s">
        <v>37</v>
      </c>
      <c r="C252">
        <v>0</v>
      </c>
      <c r="D252">
        <v>0</v>
      </c>
      <c r="E252">
        <v>0</v>
      </c>
      <c r="F252" s="5">
        <v>1.10157098229209E-4</v>
      </c>
      <c r="G252" s="5">
        <v>1.6391522939038101E-83</v>
      </c>
      <c r="K252" s="5"/>
    </row>
    <row r="253" spans="1:11" x14ac:dyDescent="0.25">
      <c r="A253" t="s">
        <v>36</v>
      </c>
      <c r="C253">
        <v>0</v>
      </c>
      <c r="D253">
        <v>0</v>
      </c>
      <c r="E253">
        <v>0</v>
      </c>
      <c r="F253" s="5">
        <v>1.3427443704501701E-2</v>
      </c>
      <c r="G253" s="5">
        <v>0</v>
      </c>
      <c r="K253" s="5"/>
    </row>
    <row r="254" spans="1:11" x14ac:dyDescent="0.25">
      <c r="A254" t="s">
        <v>35</v>
      </c>
      <c r="C254" s="1">
        <v>0</v>
      </c>
      <c r="D254" s="1">
        <v>1.50318905129331E-6</v>
      </c>
      <c r="E254" s="1">
        <v>0.16666666666666699</v>
      </c>
      <c r="F254" s="5">
        <v>0</v>
      </c>
      <c r="G254" s="5">
        <v>0</v>
      </c>
      <c r="K254" s="5"/>
    </row>
    <row r="255" spans="1:11" x14ac:dyDescent="0.25">
      <c r="A255" t="s">
        <v>34</v>
      </c>
      <c r="C255">
        <v>0</v>
      </c>
      <c r="D255">
        <v>0</v>
      </c>
      <c r="E255">
        <v>0</v>
      </c>
      <c r="F255" s="5">
        <v>0</v>
      </c>
      <c r="G255" s="5">
        <v>0</v>
      </c>
      <c r="K255" s="5"/>
    </row>
    <row r="256" spans="1:11" x14ac:dyDescent="0.25">
      <c r="A256" t="s">
        <v>33</v>
      </c>
      <c r="C256">
        <v>0</v>
      </c>
      <c r="D256" s="1">
        <v>1.50318905129331E-6</v>
      </c>
      <c r="E256">
        <v>0.16666666666666699</v>
      </c>
      <c r="F256" s="5">
        <v>1.44292059248912E-4</v>
      </c>
      <c r="G256" s="5">
        <v>2.14708506044547E-83</v>
      </c>
      <c r="K256" s="5"/>
    </row>
    <row r="257" spans="1:11" x14ac:dyDescent="0.25">
      <c r="A257" t="s">
        <v>32</v>
      </c>
      <c r="C257">
        <v>0</v>
      </c>
      <c r="D257">
        <v>0</v>
      </c>
      <c r="E257">
        <v>0</v>
      </c>
      <c r="F257" s="5">
        <v>1.4306041205664E-2</v>
      </c>
      <c r="G257" s="5">
        <v>0</v>
      </c>
      <c r="K257" s="5"/>
    </row>
    <row r="258" spans="1:11" x14ac:dyDescent="0.25">
      <c r="A258" t="s">
        <v>31</v>
      </c>
      <c r="C258">
        <v>0</v>
      </c>
      <c r="D258">
        <v>0</v>
      </c>
      <c r="E258">
        <v>0</v>
      </c>
      <c r="F258" s="5">
        <v>1.19406071561795E-6</v>
      </c>
      <c r="G258" s="5">
        <v>1.7767782489994801E-85</v>
      </c>
      <c r="K258" s="5"/>
    </row>
    <row r="259" spans="1:11" x14ac:dyDescent="0.25">
      <c r="A259" t="s">
        <v>30</v>
      </c>
      <c r="C259">
        <v>0</v>
      </c>
      <c r="D259" s="1">
        <v>1.50318905129331E-6</v>
      </c>
      <c r="E259" s="1">
        <v>0.16666666666666699</v>
      </c>
      <c r="F259" s="5">
        <v>0</v>
      </c>
      <c r="G259" s="5">
        <v>0</v>
      </c>
      <c r="K259" s="5"/>
    </row>
    <row r="260" spans="1:11" x14ac:dyDescent="0.25">
      <c r="A260" t="s">
        <v>29</v>
      </c>
      <c r="C260">
        <v>0</v>
      </c>
      <c r="D260">
        <v>0</v>
      </c>
      <c r="E260" s="1">
        <v>0</v>
      </c>
      <c r="F260" s="5">
        <v>7.1281060346300597E-20</v>
      </c>
      <c r="G260" s="5">
        <v>3.0041061964399898E-94</v>
      </c>
      <c r="K260" s="5"/>
    </row>
    <row r="261" spans="1:11" x14ac:dyDescent="0.25">
      <c r="A261" t="s">
        <v>28</v>
      </c>
      <c r="C261">
        <v>0</v>
      </c>
      <c r="D261">
        <v>0</v>
      </c>
      <c r="E261" s="1">
        <v>0</v>
      </c>
      <c r="F261" s="5">
        <v>9.0488702423873602E-5</v>
      </c>
      <c r="G261" s="5">
        <v>1.34648394461014E-83</v>
      </c>
      <c r="K261" s="5"/>
    </row>
    <row r="262" spans="1:11" x14ac:dyDescent="0.25">
      <c r="A262" t="s">
        <v>27</v>
      </c>
      <c r="C262">
        <v>0.24055096938738199</v>
      </c>
      <c r="D262">
        <v>0.23612037779620701</v>
      </c>
      <c r="E262" s="1">
        <v>1.14394685703756E-5</v>
      </c>
      <c r="F262" s="5">
        <v>1.24582878164237E-2</v>
      </c>
      <c r="G262" s="5">
        <v>0</v>
      </c>
      <c r="K262" s="5"/>
    </row>
    <row r="263" spans="1:11" x14ac:dyDescent="0.25">
      <c r="A263" t="s">
        <v>26</v>
      </c>
      <c r="C263">
        <v>0.226321600664737</v>
      </c>
      <c r="D263">
        <v>0.22535205486353399</v>
      </c>
      <c r="E263">
        <v>0</v>
      </c>
      <c r="F263" s="5">
        <v>0</v>
      </c>
      <c r="G263" s="5">
        <v>0</v>
      </c>
      <c r="K263" s="5"/>
    </row>
    <row r="264" spans="1:11" x14ac:dyDescent="0.25">
      <c r="A264" t="s">
        <v>331</v>
      </c>
      <c r="C264">
        <v>0</v>
      </c>
      <c r="D264" s="1">
        <v>1.40410728563864E-5</v>
      </c>
      <c r="E264" s="1">
        <v>0</v>
      </c>
      <c r="F264" s="5">
        <v>4.2992554628511496E-9</v>
      </c>
      <c r="G264" s="5">
        <v>3.8447786656896198E-7</v>
      </c>
      <c r="K264" s="5"/>
    </row>
    <row r="265" spans="1:11" x14ac:dyDescent="0.25">
      <c r="A265" t="s">
        <v>332</v>
      </c>
      <c r="C265">
        <v>0</v>
      </c>
      <c r="D265" s="1">
        <v>6.8280817176519701E-7</v>
      </c>
      <c r="E265" s="1">
        <v>0</v>
      </c>
      <c r="F265" s="5">
        <v>4.4438965141561003E-2</v>
      </c>
      <c r="G265" s="5">
        <v>0</v>
      </c>
      <c r="K265" s="5"/>
    </row>
    <row r="266" spans="1:11" x14ac:dyDescent="0.25">
      <c r="A266" t="s">
        <v>3</v>
      </c>
      <c r="B266" t="s">
        <v>2</v>
      </c>
      <c r="C266">
        <v>2.4076766028163599E-3</v>
      </c>
      <c r="D266" s="1">
        <v>9.4670126753750203E-7</v>
      </c>
      <c r="E266">
        <v>0</v>
      </c>
      <c r="F266" s="5">
        <v>0.37748719799806701</v>
      </c>
      <c r="G266" s="5">
        <v>3.1353094658635402E-3</v>
      </c>
      <c r="K266" s="5"/>
    </row>
    <row r="267" spans="1:11" x14ac:dyDescent="0.25">
      <c r="A267" t="s">
        <v>142</v>
      </c>
      <c r="B267" t="s">
        <v>2</v>
      </c>
      <c r="C267">
        <v>0</v>
      </c>
      <c r="D267" s="1">
        <v>4.5910438503763098E-5</v>
      </c>
      <c r="E267">
        <v>0</v>
      </c>
      <c r="F267" s="5">
        <v>0.231197590148464</v>
      </c>
      <c r="G267" s="5">
        <v>3.3634133460599302E-4</v>
      </c>
      <c r="K267" s="5"/>
    </row>
    <row r="268" spans="1:11" x14ac:dyDescent="0.25">
      <c r="A268" t="s">
        <v>141</v>
      </c>
      <c r="B268" t="s">
        <v>2</v>
      </c>
      <c r="C268">
        <v>0</v>
      </c>
      <c r="D268">
        <v>8.6711566139769096E-4</v>
      </c>
      <c r="E268">
        <v>0</v>
      </c>
      <c r="F268" s="5">
        <v>1.4041072894267099E-5</v>
      </c>
      <c r="G268" s="5">
        <v>5.7223628249191795E-13</v>
      </c>
      <c r="K268" s="5"/>
    </row>
    <row r="269" spans="1:11" x14ac:dyDescent="0.25">
      <c r="A269" t="s">
        <v>140</v>
      </c>
      <c r="B269" t="s">
        <v>2</v>
      </c>
      <c r="C269">
        <v>0</v>
      </c>
      <c r="D269">
        <v>7.2439195417116603E-4</v>
      </c>
      <c r="E269">
        <v>0</v>
      </c>
      <c r="F269" s="5">
        <v>5.5359204852425096E-13</v>
      </c>
      <c r="G269" s="5">
        <v>2.82937324894556E-22</v>
      </c>
      <c r="K269" s="5"/>
    </row>
    <row r="270" spans="1:11" x14ac:dyDescent="0.25">
      <c r="A270" t="s">
        <v>139</v>
      </c>
      <c r="B270" t="s">
        <v>2</v>
      </c>
      <c r="C270">
        <v>0</v>
      </c>
      <c r="D270" s="1">
        <v>2.05855266675534E-9</v>
      </c>
      <c r="E270">
        <v>0</v>
      </c>
      <c r="F270" s="5">
        <v>9.4670128287541E-7</v>
      </c>
      <c r="G270" s="5">
        <v>1.81705863572008E-19</v>
      </c>
      <c r="K270" s="5"/>
    </row>
    <row r="271" spans="1:11" x14ac:dyDescent="0.25">
      <c r="A271" t="s">
        <v>138</v>
      </c>
      <c r="B271" t="s">
        <v>2</v>
      </c>
      <c r="C271">
        <v>0</v>
      </c>
      <c r="D271">
        <v>0</v>
      </c>
      <c r="E271" s="1">
        <v>0</v>
      </c>
      <c r="F271" s="5">
        <v>2.8345511773170901E-14</v>
      </c>
      <c r="G271" s="5">
        <v>5.13918976644118E-17</v>
      </c>
      <c r="K271" s="5"/>
    </row>
    <row r="272" spans="1:11" x14ac:dyDescent="0.25">
      <c r="A272" t="s">
        <v>137</v>
      </c>
      <c r="B272" t="s">
        <v>2</v>
      </c>
      <c r="C272" s="1">
        <v>0</v>
      </c>
      <c r="D272">
        <v>0</v>
      </c>
      <c r="E272" s="1">
        <v>0</v>
      </c>
      <c r="F272" s="5">
        <v>7.0725827726578095E-13</v>
      </c>
      <c r="G272" s="5">
        <v>8.1413369491182705E-16</v>
      </c>
      <c r="K272" s="5"/>
    </row>
    <row r="273" spans="1:11" x14ac:dyDescent="0.25">
      <c r="A273" t="s">
        <v>136</v>
      </c>
      <c r="B273" t="s">
        <v>2</v>
      </c>
      <c r="C273" s="1">
        <v>2.4076766028163601E-5</v>
      </c>
      <c r="D273" s="1">
        <v>4.37027025226796E-5</v>
      </c>
      <c r="E273" s="1">
        <v>0</v>
      </c>
      <c r="F273" s="5">
        <v>4.0246400324380201E-10</v>
      </c>
      <c r="G273" s="5">
        <v>3.7661176278686897E-14</v>
      </c>
      <c r="K273" s="5"/>
    </row>
    <row r="274" spans="1:11" x14ac:dyDescent="0.25">
      <c r="A274" t="s">
        <v>135</v>
      </c>
      <c r="B274" t="s">
        <v>2</v>
      </c>
      <c r="C274">
        <v>0</v>
      </c>
      <c r="D274">
        <v>0</v>
      </c>
      <c r="E274" s="1">
        <v>0</v>
      </c>
      <c r="F274" s="5">
        <v>1.9402882931992601E-14</v>
      </c>
      <c r="G274" s="5">
        <v>1.00048767240408E-17</v>
      </c>
      <c r="K274" s="5"/>
    </row>
    <row r="275" spans="1:11" x14ac:dyDescent="0.25">
      <c r="A275" t="s">
        <v>134</v>
      </c>
      <c r="B275" t="s">
        <v>2</v>
      </c>
      <c r="C275">
        <v>0</v>
      </c>
      <c r="D275">
        <v>1.36238884940845E-3</v>
      </c>
      <c r="E275" s="1">
        <v>0</v>
      </c>
      <c r="F275" s="5">
        <v>1.9264958478615E-16</v>
      </c>
      <c r="G275" s="5">
        <v>0</v>
      </c>
      <c r="K275" s="5"/>
    </row>
    <row r="276" spans="1:11" x14ac:dyDescent="0.25">
      <c r="A276" t="s">
        <v>133</v>
      </c>
      <c r="B276" t="s">
        <v>2</v>
      </c>
      <c r="C276">
        <v>0</v>
      </c>
      <c r="D276">
        <v>4.58686881219071E-4</v>
      </c>
      <c r="E276" s="1">
        <v>0</v>
      </c>
      <c r="F276" s="5">
        <v>4.75021511984475E-4</v>
      </c>
      <c r="G276" s="5">
        <v>0</v>
      </c>
      <c r="K276" s="5"/>
    </row>
    <row r="277" spans="1:11" x14ac:dyDescent="0.25">
      <c r="A277" t="s">
        <v>132</v>
      </c>
      <c r="B277" t="s">
        <v>2</v>
      </c>
      <c r="C277" s="1">
        <v>0</v>
      </c>
      <c r="D277" s="1">
        <v>1.45921453529298E-5</v>
      </c>
      <c r="E277" s="1">
        <v>0</v>
      </c>
      <c r="F277" s="5">
        <v>1.06824360842003E-2</v>
      </c>
      <c r="G277" s="5">
        <v>4.5315839498988401E-4</v>
      </c>
      <c r="K277" s="5"/>
    </row>
    <row r="278" spans="1:11" x14ac:dyDescent="0.25">
      <c r="A278" t="s">
        <v>131</v>
      </c>
      <c r="B278" t="s">
        <v>2</v>
      </c>
      <c r="C278" s="1">
        <v>0</v>
      </c>
      <c r="D278" s="1">
        <v>1.05155594081038E-21</v>
      </c>
      <c r="E278" s="1">
        <v>0</v>
      </c>
      <c r="F278" s="5">
        <v>2.4217960392803801E-15</v>
      </c>
      <c r="G278" s="5">
        <v>0</v>
      </c>
      <c r="K278" s="5"/>
    </row>
    <row r="279" spans="1:11" x14ac:dyDescent="0.25">
      <c r="A279" t="s">
        <v>130</v>
      </c>
      <c r="B279" t="s">
        <v>2</v>
      </c>
      <c r="C279">
        <v>0</v>
      </c>
      <c r="D279" s="1">
        <v>1.79118756159208E-21</v>
      </c>
      <c r="E279">
        <v>0</v>
      </c>
      <c r="F279" s="5">
        <v>6.9012968511976804E-4</v>
      </c>
      <c r="G279" s="5">
        <v>9.3510619294161397E-4</v>
      </c>
      <c r="K279" s="5"/>
    </row>
    <row r="280" spans="1:11" x14ac:dyDescent="0.25">
      <c r="A280" t="s">
        <v>129</v>
      </c>
      <c r="B280" t="s">
        <v>2</v>
      </c>
      <c r="C280" s="1">
        <v>0</v>
      </c>
      <c r="D280" s="1">
        <v>1.0756421308698501E-20</v>
      </c>
      <c r="E280" s="1">
        <v>0</v>
      </c>
      <c r="F280" s="5">
        <v>4.5868836018259101E-4</v>
      </c>
      <c r="G280" s="5">
        <v>7.9386136133530295E-9</v>
      </c>
      <c r="K280" s="5"/>
    </row>
    <row r="281" spans="1:11" x14ac:dyDescent="0.25">
      <c r="A281" t="s">
        <v>128</v>
      </c>
      <c r="B281" t="s">
        <v>2</v>
      </c>
      <c r="C281">
        <v>0</v>
      </c>
      <c r="D281" s="1">
        <v>1.2379214387133501E-22</v>
      </c>
      <c r="E281" s="1">
        <v>0</v>
      </c>
      <c r="F281" s="5">
        <v>2.2627798972487401E-13</v>
      </c>
      <c r="G281" s="5">
        <v>8.0484157650095597E-22</v>
      </c>
      <c r="K281" s="5"/>
    </row>
    <row r="282" spans="1:11" x14ac:dyDescent="0.25">
      <c r="A282" t="s">
        <v>127</v>
      </c>
      <c r="B282" t="s">
        <v>2</v>
      </c>
      <c r="C282" s="1">
        <v>0</v>
      </c>
      <c r="D282" s="1">
        <v>1.1070574230187599E-5</v>
      </c>
      <c r="E282" s="1">
        <v>0</v>
      </c>
      <c r="F282" s="5">
        <v>0</v>
      </c>
      <c r="G282" s="5">
        <v>0</v>
      </c>
      <c r="K282" s="5"/>
    </row>
    <row r="283" spans="1:11" x14ac:dyDescent="0.25">
      <c r="A283" t="s">
        <v>126</v>
      </c>
      <c r="B283" t="s">
        <v>2</v>
      </c>
      <c r="C283" s="1">
        <v>0</v>
      </c>
      <c r="D283" s="1">
        <v>1.49859891621183E-5</v>
      </c>
      <c r="E283" s="1">
        <v>0</v>
      </c>
      <c r="F283" s="5">
        <v>1.8466140190635899E-11</v>
      </c>
      <c r="G283" s="5">
        <v>6.5537777822149794E-20</v>
      </c>
      <c r="K283" s="5"/>
    </row>
    <row r="284" spans="1:11" x14ac:dyDescent="0.25">
      <c r="A284" t="s">
        <v>125</v>
      </c>
      <c r="B284" t="s">
        <v>2</v>
      </c>
      <c r="C284" s="1">
        <v>0</v>
      </c>
      <c r="D284" s="1">
        <v>3.80560197375103E-20</v>
      </c>
      <c r="E284" s="1">
        <v>0</v>
      </c>
      <c r="F284" s="5">
        <v>3.14600329966718E-11</v>
      </c>
      <c r="G284" s="5">
        <v>4.4169190526722798E-92</v>
      </c>
      <c r="K284" s="5"/>
    </row>
    <row r="285" spans="1:11" x14ac:dyDescent="0.25">
      <c r="A285" t="s">
        <v>124</v>
      </c>
      <c r="B285" t="s">
        <v>2</v>
      </c>
      <c r="C285" s="1">
        <v>0</v>
      </c>
      <c r="D285" s="1">
        <v>1.0421619331127501E-5</v>
      </c>
      <c r="E285" s="1">
        <v>0</v>
      </c>
      <c r="F285" s="5">
        <v>2.57740247142244E-11</v>
      </c>
      <c r="G285" s="5">
        <v>3.6186160655440898E-92</v>
      </c>
      <c r="K285" s="5"/>
    </row>
    <row r="286" spans="1:11" x14ac:dyDescent="0.25">
      <c r="A286" t="s">
        <v>123</v>
      </c>
      <c r="B286" t="s">
        <v>2</v>
      </c>
      <c r="C286" s="1">
        <v>0</v>
      </c>
      <c r="D286" s="1">
        <v>3.3649866227711403E-5</v>
      </c>
      <c r="E286" s="1">
        <v>0</v>
      </c>
      <c r="F286" s="5">
        <v>1.7048898770033101E-10</v>
      </c>
      <c r="G286" s="5">
        <v>1.6071453106518499E-18</v>
      </c>
      <c r="K286" s="5"/>
    </row>
    <row r="287" spans="1:11" x14ac:dyDescent="0.25">
      <c r="A287" t="s">
        <v>122</v>
      </c>
      <c r="B287" t="s">
        <v>2</v>
      </c>
      <c r="C287">
        <v>0</v>
      </c>
      <c r="D287" s="1">
        <v>1.7093353529294402E-5</v>
      </c>
      <c r="E287" s="1">
        <v>0</v>
      </c>
      <c r="F287" s="5">
        <v>1.49859891613476E-5</v>
      </c>
      <c r="G287" s="5">
        <v>1.31970006851986E-15</v>
      </c>
      <c r="K287" s="5"/>
    </row>
    <row r="288" spans="1:11" x14ac:dyDescent="0.25">
      <c r="A288" t="s">
        <v>121</v>
      </c>
      <c r="B288" t="s">
        <v>2</v>
      </c>
      <c r="C288" s="1">
        <v>0</v>
      </c>
      <c r="D288" s="1">
        <v>1.12327751763934E-5</v>
      </c>
      <c r="E288" s="1">
        <v>0</v>
      </c>
      <c r="F288" s="5">
        <v>1.8716963304521401E-11</v>
      </c>
      <c r="G288" s="5">
        <v>2.6278202517033201E-92</v>
      </c>
      <c r="K288" s="5"/>
    </row>
    <row r="289" spans="1:11" x14ac:dyDescent="0.25">
      <c r="A289" t="s">
        <v>120</v>
      </c>
      <c r="B289" t="s">
        <v>2</v>
      </c>
      <c r="C289" s="1">
        <v>0</v>
      </c>
      <c r="D289" s="1">
        <v>1.6137829027856101E-5</v>
      </c>
      <c r="E289" s="1">
        <v>0</v>
      </c>
      <c r="F289" s="5">
        <v>1.51615860584769E-11</v>
      </c>
      <c r="G289" s="5">
        <v>2.1286531497758301E-92</v>
      </c>
      <c r="K289" s="5"/>
    </row>
    <row r="290" spans="1:11" x14ac:dyDescent="0.25">
      <c r="A290" t="s">
        <v>119</v>
      </c>
      <c r="B290" t="s">
        <v>2</v>
      </c>
      <c r="C290">
        <v>0</v>
      </c>
      <c r="D290" s="1">
        <v>2.0266862350678999E-5</v>
      </c>
      <c r="E290">
        <v>0</v>
      </c>
      <c r="F290" s="5">
        <v>5.3290626075245902E-14</v>
      </c>
      <c r="G290" s="5">
        <v>7.4818860382469701E-95</v>
      </c>
      <c r="K290" s="5"/>
    </row>
    <row r="291" spans="1:11" x14ac:dyDescent="0.25">
      <c r="A291" t="s">
        <v>118</v>
      </c>
      <c r="B291" t="s">
        <v>2</v>
      </c>
      <c r="C291">
        <v>0</v>
      </c>
      <c r="D291" s="1">
        <v>1.18935373274288E-5</v>
      </c>
      <c r="E291">
        <v>0</v>
      </c>
      <c r="F291" s="5">
        <v>1.7093353528123101E-5</v>
      </c>
      <c r="G291" s="5">
        <v>2.3998690300298499E-86</v>
      </c>
      <c r="K291" s="5"/>
    </row>
    <row r="292" spans="1:11" x14ac:dyDescent="0.25">
      <c r="A292" t="s">
        <v>117</v>
      </c>
      <c r="B292" t="s">
        <v>2</v>
      </c>
      <c r="C292">
        <v>0</v>
      </c>
      <c r="D292" s="1">
        <v>3.4933464753921897E-5</v>
      </c>
      <c r="E292" s="1">
        <v>0</v>
      </c>
      <c r="F292" s="5">
        <v>3.0458105120095301E-13</v>
      </c>
      <c r="G292" s="5">
        <v>4.2762505947618199E-94</v>
      </c>
      <c r="K292" s="5"/>
    </row>
    <row r="293" spans="1:11" x14ac:dyDescent="0.25">
      <c r="A293" t="s">
        <v>116</v>
      </c>
      <c r="B293" t="s">
        <v>2</v>
      </c>
      <c r="C293">
        <v>0</v>
      </c>
      <c r="D293" s="1">
        <v>7.7951747789899894E-6</v>
      </c>
      <c r="E293" s="1">
        <v>0</v>
      </c>
      <c r="F293" s="5">
        <v>5.8704875258204604E-14</v>
      </c>
      <c r="G293" s="5">
        <v>8.2420346488557099E-95</v>
      </c>
      <c r="K293" s="5"/>
    </row>
    <row r="294" spans="1:11" x14ac:dyDescent="0.25">
      <c r="A294" t="s">
        <v>115</v>
      </c>
      <c r="B294" t="s">
        <v>2</v>
      </c>
      <c r="C294">
        <v>0</v>
      </c>
      <c r="D294" s="1">
        <v>2.3790194044993501E-5</v>
      </c>
      <c r="E294">
        <v>0</v>
      </c>
      <c r="F294" s="5">
        <v>3.5159092100224301E-13</v>
      </c>
      <c r="G294" s="5">
        <v>2.0109015633668398E-21</v>
      </c>
      <c r="K294" s="5"/>
    </row>
    <row r="295" spans="1:11" x14ac:dyDescent="0.25">
      <c r="A295" t="s">
        <v>114</v>
      </c>
      <c r="B295" t="s">
        <v>2</v>
      </c>
      <c r="C295">
        <v>0</v>
      </c>
      <c r="D295" s="1">
        <v>3.1183192058238799E-9</v>
      </c>
      <c r="E295" s="1">
        <v>0</v>
      </c>
      <c r="F295" s="5">
        <v>8.3987440104382304E-11</v>
      </c>
      <c r="G295" s="5">
        <v>1.17916508358864E-91</v>
      </c>
      <c r="K295" s="5"/>
    </row>
    <row r="296" spans="1:11" x14ac:dyDescent="0.25">
      <c r="A296" t="s">
        <v>113</v>
      </c>
      <c r="B296" t="s">
        <v>2</v>
      </c>
      <c r="C296">
        <v>0</v>
      </c>
      <c r="D296">
        <v>2.2278510615765599E-4</v>
      </c>
      <c r="E296" s="1">
        <v>0</v>
      </c>
      <c r="F296" s="5">
        <v>3.4933464749732499E-5</v>
      </c>
      <c r="G296" s="5">
        <v>3.0755646033827998E-15</v>
      </c>
      <c r="K296" s="5"/>
    </row>
    <row r="297" spans="1:11" x14ac:dyDescent="0.25">
      <c r="A297" t="s">
        <v>112</v>
      </c>
      <c r="B297" t="s">
        <v>2</v>
      </c>
      <c r="C297">
        <v>0</v>
      </c>
      <c r="D297" s="1">
        <v>1.9077640300571299E-22</v>
      </c>
      <c r="E297" s="1">
        <v>0</v>
      </c>
      <c r="F297" s="5">
        <v>7.7951747784558301E-6</v>
      </c>
      <c r="G297" s="5">
        <v>1.0944252983305699E-86</v>
      </c>
      <c r="K297" s="5"/>
    </row>
    <row r="298" spans="1:11" x14ac:dyDescent="0.25">
      <c r="A298" t="s">
        <v>111</v>
      </c>
      <c r="B298" t="s">
        <v>2</v>
      </c>
      <c r="C298">
        <v>0</v>
      </c>
      <c r="D298" s="1">
        <v>3.8551122565837101E-22</v>
      </c>
      <c r="E298">
        <v>0</v>
      </c>
      <c r="F298" s="5">
        <v>3.28129570220565E-13</v>
      </c>
      <c r="G298" s="5">
        <v>2.8895831409004701E-23</v>
      </c>
      <c r="K298" s="5"/>
    </row>
    <row r="299" spans="1:11" x14ac:dyDescent="0.25">
      <c r="A299" t="s">
        <v>110</v>
      </c>
      <c r="B299" t="s">
        <v>2</v>
      </c>
      <c r="C299">
        <v>0</v>
      </c>
      <c r="D299" s="1">
        <v>4.5620991921057601E-5</v>
      </c>
      <c r="E299">
        <v>0</v>
      </c>
      <c r="F299" s="5">
        <v>3.6596852257029401E-9</v>
      </c>
      <c r="G299" s="5">
        <v>4.94159687822605E-7</v>
      </c>
      <c r="K299" s="5"/>
    </row>
    <row r="300" spans="1:11" x14ac:dyDescent="0.25">
      <c r="A300" t="s">
        <v>109</v>
      </c>
      <c r="B300" t="s">
        <v>2</v>
      </c>
      <c r="C300">
        <v>0</v>
      </c>
      <c r="D300" s="1">
        <v>1.9803641824842601E-21</v>
      </c>
      <c r="E300">
        <v>0</v>
      </c>
      <c r="F300" s="5">
        <v>2.5576374048396098E-4</v>
      </c>
      <c r="G300" s="5">
        <v>1.3195254828317199E-3</v>
      </c>
      <c r="K300" s="5"/>
    </row>
    <row r="301" spans="1:11" x14ac:dyDescent="0.25">
      <c r="A301" t="s">
        <v>108</v>
      </c>
      <c r="B301" t="s">
        <v>2</v>
      </c>
      <c r="C301">
        <v>0</v>
      </c>
      <c r="D301" s="1">
        <v>3.7609700767324597E-11</v>
      </c>
      <c r="E301">
        <v>0</v>
      </c>
      <c r="F301" s="5">
        <v>0</v>
      </c>
      <c r="G301" s="5">
        <v>0</v>
      </c>
      <c r="K301" s="5"/>
    </row>
    <row r="302" spans="1:11" x14ac:dyDescent="0.25">
      <c r="A302" t="s">
        <v>107</v>
      </c>
      <c r="B302" t="s">
        <v>2</v>
      </c>
      <c r="C302">
        <v>0</v>
      </c>
      <c r="D302" s="1">
        <v>7.5267574794267401E-19</v>
      </c>
      <c r="E302" s="1">
        <v>0</v>
      </c>
      <c r="F302" s="5">
        <v>0</v>
      </c>
      <c r="G302" s="5">
        <v>0</v>
      </c>
      <c r="K302" s="5"/>
    </row>
    <row r="303" spans="1:11" x14ac:dyDescent="0.25">
      <c r="A303" t="s">
        <v>106</v>
      </c>
      <c r="B303" t="s">
        <v>2</v>
      </c>
      <c r="C303">
        <v>0</v>
      </c>
      <c r="D303">
        <v>0</v>
      </c>
      <c r="E303" s="1">
        <v>0</v>
      </c>
      <c r="F303" s="5">
        <v>2.0365288299842399E-10</v>
      </c>
      <c r="G303" s="5">
        <v>5.8945371955615199E-11</v>
      </c>
      <c r="K303" s="5"/>
    </row>
    <row r="304" spans="1:11" x14ac:dyDescent="0.25">
      <c r="A304" t="s">
        <v>105</v>
      </c>
      <c r="B304" t="s">
        <v>2</v>
      </c>
      <c r="C304">
        <v>0</v>
      </c>
      <c r="D304">
        <v>0</v>
      </c>
      <c r="E304">
        <v>0</v>
      </c>
      <c r="F304" s="5">
        <v>0</v>
      </c>
      <c r="G304" s="5">
        <v>0</v>
      </c>
      <c r="K304" s="5"/>
    </row>
    <row r="305" spans="1:11" x14ac:dyDescent="0.25">
      <c r="A305" t="s">
        <v>104</v>
      </c>
      <c r="B305" t="s">
        <v>2</v>
      </c>
      <c r="C305" s="1">
        <v>0</v>
      </c>
      <c r="D305">
        <v>0</v>
      </c>
      <c r="E305" s="1">
        <v>0</v>
      </c>
      <c r="F305" s="5">
        <v>2.3081639135477901E-10</v>
      </c>
      <c r="G305" s="5">
        <v>1.0373227732486201E-10</v>
      </c>
      <c r="K305" s="5"/>
    </row>
    <row r="306" spans="1:11" x14ac:dyDescent="0.25">
      <c r="A306" t="s">
        <v>103</v>
      </c>
      <c r="B306" t="s">
        <v>2</v>
      </c>
      <c r="C306" s="1">
        <v>0</v>
      </c>
      <c r="D306">
        <v>0</v>
      </c>
      <c r="E306" s="1">
        <v>0</v>
      </c>
      <c r="F306" s="5">
        <v>0</v>
      </c>
      <c r="G306" s="5">
        <v>0</v>
      </c>
      <c r="K306" s="5"/>
    </row>
    <row r="307" spans="1:11" x14ac:dyDescent="0.25">
      <c r="A307" t="s">
        <v>102</v>
      </c>
      <c r="B307" t="s">
        <v>2</v>
      </c>
      <c r="C307">
        <v>5.2968885261959701E-3</v>
      </c>
      <c r="D307">
        <v>1.5890665578587699E-3</v>
      </c>
      <c r="E307" s="1">
        <v>0</v>
      </c>
      <c r="F307" s="5">
        <v>1.1487997118921799E-12</v>
      </c>
      <c r="G307" s="5">
        <v>1.0906025524587599E-19</v>
      </c>
      <c r="K307" s="5"/>
    </row>
    <row r="308" spans="1:11" x14ac:dyDescent="0.25">
      <c r="A308" t="s">
        <v>101</v>
      </c>
      <c r="B308" t="s">
        <v>2</v>
      </c>
      <c r="C308">
        <v>2.4076766028163599E-3</v>
      </c>
      <c r="D308">
        <v>9.6307063822895797E-4</v>
      </c>
      <c r="E308">
        <v>0</v>
      </c>
      <c r="F308" s="5">
        <v>2.5077586294672199E-2</v>
      </c>
      <c r="G308" s="5">
        <v>0</v>
      </c>
      <c r="K308" s="5"/>
    </row>
    <row r="309" spans="1:11" x14ac:dyDescent="0.25">
      <c r="A309" t="s">
        <v>100</v>
      </c>
      <c r="B309" t="s">
        <v>2</v>
      </c>
      <c r="C309" s="1">
        <v>0</v>
      </c>
      <c r="D309">
        <v>0</v>
      </c>
      <c r="E309" s="1">
        <v>0</v>
      </c>
      <c r="F309" s="5">
        <v>1.02911023887077E-2</v>
      </c>
      <c r="G309" s="5">
        <v>0</v>
      </c>
      <c r="K309" s="5"/>
    </row>
    <row r="310" spans="1:11" x14ac:dyDescent="0.25">
      <c r="A310" t="s">
        <v>99</v>
      </c>
      <c r="B310" t="s">
        <v>2</v>
      </c>
      <c r="C310" s="1">
        <v>9.6307064112654203E-5</v>
      </c>
      <c r="D310" s="1">
        <v>9.6307064112652607E-6</v>
      </c>
      <c r="E310" s="1">
        <v>0</v>
      </c>
      <c r="F310" s="5">
        <v>2.6154347413837099E-3</v>
      </c>
      <c r="G310" s="5">
        <v>0</v>
      </c>
      <c r="K310" s="5"/>
    </row>
    <row r="311" spans="1:11" x14ac:dyDescent="0.25">
      <c r="A311" t="s">
        <v>98</v>
      </c>
      <c r="B311" t="s">
        <v>2</v>
      </c>
      <c r="C311" s="1">
        <v>9.6307064112654203E-5</v>
      </c>
      <c r="D311" s="1">
        <v>9.6307064112652607E-6</v>
      </c>
      <c r="E311">
        <v>0</v>
      </c>
      <c r="F311" s="5">
        <v>1.58906655785874E-3</v>
      </c>
      <c r="G311" s="5">
        <v>2.2310143018963702E-84</v>
      </c>
      <c r="K311" s="5"/>
    </row>
    <row r="312" spans="1:11" x14ac:dyDescent="0.25">
      <c r="A312" t="s">
        <v>97</v>
      </c>
      <c r="B312" t="s">
        <v>2</v>
      </c>
      <c r="C312">
        <v>0</v>
      </c>
      <c r="D312" s="1">
        <v>9.1236903804035801E-7</v>
      </c>
      <c r="E312" s="1">
        <v>0</v>
      </c>
      <c r="F312" s="5">
        <v>9.6307063870185096E-4</v>
      </c>
      <c r="G312" s="5">
        <v>2.4246586716501099E-12</v>
      </c>
      <c r="K312" s="5"/>
    </row>
    <row r="313" spans="1:11" x14ac:dyDescent="0.25">
      <c r="A313" t="s">
        <v>96</v>
      </c>
      <c r="B313" t="s">
        <v>2</v>
      </c>
      <c r="C313">
        <v>0</v>
      </c>
      <c r="D313">
        <v>0</v>
      </c>
      <c r="E313">
        <v>0</v>
      </c>
      <c r="F313" s="5">
        <v>0</v>
      </c>
      <c r="G313" s="5">
        <v>0</v>
      </c>
      <c r="K313" s="5"/>
    </row>
    <row r="314" spans="1:11" x14ac:dyDescent="0.25">
      <c r="A314" t="s">
        <v>95</v>
      </c>
      <c r="B314" t="s">
        <v>2</v>
      </c>
      <c r="C314" s="1">
        <v>9.6307064112654203E-5</v>
      </c>
      <c r="D314" s="1">
        <v>9.6307064112651895E-6</v>
      </c>
      <c r="E314">
        <v>0</v>
      </c>
      <c r="F314" s="5">
        <v>9.6307064112651201E-6</v>
      </c>
      <c r="G314" s="5">
        <v>7.5529464654974101E-24</v>
      </c>
      <c r="K314" s="5"/>
    </row>
    <row r="315" spans="1:11" x14ac:dyDescent="0.25">
      <c r="A315" t="s">
        <v>94</v>
      </c>
      <c r="B315" t="s">
        <v>2</v>
      </c>
      <c r="C315">
        <v>0</v>
      </c>
      <c r="D315">
        <v>2.7359860332162102E-4</v>
      </c>
      <c r="E315">
        <v>0</v>
      </c>
      <c r="F315" s="5">
        <v>9.6307064112651201E-6</v>
      </c>
      <c r="G315" s="5">
        <v>7.0142262500838097E-23</v>
      </c>
      <c r="K315" s="5"/>
    </row>
    <row r="316" spans="1:11" x14ac:dyDescent="0.25">
      <c r="A316" t="s">
        <v>93</v>
      </c>
      <c r="B316" t="s">
        <v>2</v>
      </c>
      <c r="C316">
        <v>0</v>
      </c>
      <c r="D316">
        <v>0</v>
      </c>
      <c r="E316">
        <v>0</v>
      </c>
      <c r="F316" s="5">
        <v>9.1236907356076904E-7</v>
      </c>
      <c r="G316" s="5">
        <v>8.6426261799434107E-15</v>
      </c>
      <c r="K316" s="5"/>
    </row>
    <row r="317" spans="1:11" x14ac:dyDescent="0.25">
      <c r="A317" t="s">
        <v>92</v>
      </c>
      <c r="B317" t="s">
        <v>2</v>
      </c>
      <c r="C317">
        <v>0</v>
      </c>
      <c r="D317" s="1">
        <v>3.3458716358959799E-7</v>
      </c>
      <c r="E317">
        <v>0</v>
      </c>
      <c r="F317" s="5">
        <v>0</v>
      </c>
      <c r="G317" s="5">
        <v>0</v>
      </c>
      <c r="K317" s="5"/>
    </row>
    <row r="318" spans="1:11" x14ac:dyDescent="0.25">
      <c r="A318" t="s">
        <v>91</v>
      </c>
      <c r="B318" t="s">
        <v>2</v>
      </c>
      <c r="C318">
        <v>0</v>
      </c>
      <c r="D318">
        <v>0</v>
      </c>
      <c r="E318" s="1">
        <v>0</v>
      </c>
      <c r="F318" s="5">
        <v>9.6307064112650405E-6</v>
      </c>
      <c r="G318" s="5">
        <v>6.8370557465632301E-20</v>
      </c>
      <c r="K318" s="5"/>
    </row>
    <row r="319" spans="1:11" x14ac:dyDescent="0.25">
      <c r="A319" t="s">
        <v>90</v>
      </c>
      <c r="B319" t="s">
        <v>2</v>
      </c>
      <c r="C319">
        <v>0</v>
      </c>
      <c r="D319">
        <v>1.1741028328151101E-3</v>
      </c>
      <c r="E319">
        <v>0</v>
      </c>
      <c r="F319" s="5">
        <v>2.7359860332709499E-4</v>
      </c>
      <c r="G319" s="5">
        <v>2.8840759140094599E-14</v>
      </c>
      <c r="K319" s="5"/>
    </row>
    <row r="320" spans="1:11" x14ac:dyDescent="0.25">
      <c r="A320" t="s">
        <v>89</v>
      </c>
      <c r="B320" t="s">
        <v>2</v>
      </c>
      <c r="C320">
        <v>7.2230298084490603E-4</v>
      </c>
      <c r="D320" s="1">
        <v>6.4255399832005802E-5</v>
      </c>
      <c r="E320">
        <v>0</v>
      </c>
      <c r="F320" s="5">
        <v>0</v>
      </c>
      <c r="G320" s="5">
        <v>0</v>
      </c>
      <c r="K320" s="5"/>
    </row>
    <row r="321" spans="1:11" x14ac:dyDescent="0.25">
      <c r="A321" t="s">
        <v>88</v>
      </c>
      <c r="B321" t="s">
        <v>2</v>
      </c>
      <c r="C321">
        <v>4.33381788506943E-4</v>
      </c>
      <c r="D321" s="1">
        <v>6.4326140134819106E-8</v>
      </c>
      <c r="E321">
        <v>0</v>
      </c>
      <c r="F321" s="5">
        <v>3.3458718220343003E-7</v>
      </c>
      <c r="G321" s="5">
        <v>2.1680076422205099E-16</v>
      </c>
      <c r="K321" s="5"/>
    </row>
    <row r="322" spans="1:11" x14ac:dyDescent="0.25">
      <c r="A322" t="s">
        <v>87</v>
      </c>
      <c r="B322" t="s">
        <v>2</v>
      </c>
      <c r="C322">
        <v>0</v>
      </c>
      <c r="D322">
        <v>0</v>
      </c>
      <c r="E322">
        <v>0</v>
      </c>
      <c r="F322" s="5">
        <v>0</v>
      </c>
      <c r="G322" s="5">
        <v>0</v>
      </c>
      <c r="K322" s="5"/>
    </row>
    <row r="323" spans="1:11" x14ac:dyDescent="0.25">
      <c r="A323" t="s">
        <v>86</v>
      </c>
      <c r="B323" t="s">
        <v>2</v>
      </c>
      <c r="C323">
        <v>2.6484442630979798E-3</v>
      </c>
      <c r="D323">
        <v>2.6484442630978502E-3</v>
      </c>
      <c r="E323">
        <v>0</v>
      </c>
      <c r="F323" s="5">
        <v>1.1906570109219701E-3</v>
      </c>
      <c r="G323" s="5">
        <v>1.33342426382308E-5</v>
      </c>
      <c r="K323" s="5"/>
    </row>
    <row r="324" spans="1:11" x14ac:dyDescent="0.25">
      <c r="A324" t="s">
        <v>85</v>
      </c>
      <c r="B324" t="s">
        <v>2</v>
      </c>
      <c r="C324">
        <v>0</v>
      </c>
      <c r="D324">
        <v>0</v>
      </c>
      <c r="E324">
        <v>0</v>
      </c>
      <c r="F324" s="5">
        <v>7.0341461758284397E-5</v>
      </c>
      <c r="G324" s="5">
        <v>1.8888363262034801E-6</v>
      </c>
      <c r="K324" s="5"/>
    </row>
    <row r="325" spans="1:11" x14ac:dyDescent="0.25">
      <c r="A325" t="s">
        <v>84</v>
      </c>
      <c r="B325" t="s">
        <v>2</v>
      </c>
      <c r="C325">
        <v>0</v>
      </c>
      <c r="D325">
        <v>0</v>
      </c>
      <c r="E325">
        <v>0</v>
      </c>
      <c r="F325" s="5">
        <v>1.41587722190281E-4</v>
      </c>
      <c r="G325" s="5">
        <v>7.5103172063159797E-5</v>
      </c>
      <c r="K325" s="5"/>
    </row>
    <row r="326" spans="1:11" x14ac:dyDescent="0.25">
      <c r="A326" t="s">
        <v>83</v>
      </c>
      <c r="B326" t="s">
        <v>2</v>
      </c>
      <c r="C326">
        <v>0</v>
      </c>
      <c r="D326">
        <v>0</v>
      </c>
      <c r="E326">
        <v>0</v>
      </c>
      <c r="F326" s="5">
        <v>4.5275752882312201E-5</v>
      </c>
      <c r="G326" s="5">
        <v>0</v>
      </c>
      <c r="K326" s="5"/>
    </row>
    <row r="327" spans="1:11" x14ac:dyDescent="0.25">
      <c r="A327" t="s">
        <v>82</v>
      </c>
      <c r="B327" t="s">
        <v>2</v>
      </c>
      <c r="C327">
        <v>0</v>
      </c>
      <c r="D327">
        <v>0</v>
      </c>
      <c r="E327">
        <v>0</v>
      </c>
      <c r="F327" s="5">
        <v>2.64844426309791E-3</v>
      </c>
      <c r="G327" s="5">
        <v>2.8956320506306202E-19</v>
      </c>
      <c r="K327" s="5"/>
    </row>
    <row r="328" spans="1:11" x14ac:dyDescent="0.25">
      <c r="A328" t="s">
        <v>81</v>
      </c>
      <c r="B328" t="s">
        <v>2</v>
      </c>
      <c r="C328">
        <v>0</v>
      </c>
      <c r="D328">
        <v>0</v>
      </c>
      <c r="E328">
        <v>0</v>
      </c>
      <c r="F328" s="5">
        <v>8.5702494001175199E-4</v>
      </c>
      <c r="G328" s="5">
        <v>2.3697668471937101E-7</v>
      </c>
      <c r="K328" s="5"/>
    </row>
    <row r="329" spans="1:11" x14ac:dyDescent="0.25">
      <c r="A329" t="s">
        <v>80</v>
      </c>
      <c r="B329" t="s">
        <v>2</v>
      </c>
      <c r="C329">
        <v>0</v>
      </c>
      <c r="D329">
        <v>0</v>
      </c>
      <c r="E329">
        <v>0</v>
      </c>
      <c r="F329" s="5">
        <v>3.0429623121072802E-8</v>
      </c>
      <c r="G329" s="5">
        <v>1.58262105156779E-12</v>
      </c>
      <c r="K329" s="5"/>
    </row>
    <row r="330" spans="1:11" x14ac:dyDescent="0.25">
      <c r="A330" t="s">
        <v>79</v>
      </c>
      <c r="B330" t="s">
        <v>2</v>
      </c>
      <c r="C330">
        <v>0</v>
      </c>
      <c r="D330">
        <v>0</v>
      </c>
      <c r="E330">
        <v>0</v>
      </c>
      <c r="F330" s="5">
        <v>7.1639230604573405E-4</v>
      </c>
      <c r="G330" s="5">
        <v>9.8713327196094004E-8</v>
      </c>
      <c r="K330" s="5"/>
    </row>
    <row r="331" spans="1:11" x14ac:dyDescent="0.25">
      <c r="A331" t="s">
        <v>78</v>
      </c>
      <c r="B331" t="s">
        <v>2</v>
      </c>
      <c r="C331">
        <v>0</v>
      </c>
      <c r="D331">
        <v>0</v>
      </c>
      <c r="E331">
        <v>0</v>
      </c>
      <c r="F331" s="5">
        <v>7.9649753767762199E-7</v>
      </c>
      <c r="G331" s="5">
        <v>4.0738929979405901E-16</v>
      </c>
      <c r="K331" s="5"/>
    </row>
    <row r="332" spans="1:11" x14ac:dyDescent="0.25">
      <c r="A332" t="s">
        <v>77</v>
      </c>
      <c r="B332" t="s">
        <v>2</v>
      </c>
      <c r="C332">
        <v>0</v>
      </c>
      <c r="D332">
        <v>0</v>
      </c>
      <c r="E332">
        <v>0</v>
      </c>
      <c r="F332" s="5">
        <v>2.7666374606618699E-12</v>
      </c>
      <c r="G332" s="5">
        <v>0</v>
      </c>
      <c r="K332" s="5"/>
    </row>
    <row r="333" spans="1:11" x14ac:dyDescent="0.25">
      <c r="A333" t="s">
        <v>76</v>
      </c>
      <c r="B333" t="s">
        <v>2</v>
      </c>
      <c r="C333">
        <v>0</v>
      </c>
      <c r="D333">
        <v>0</v>
      </c>
      <c r="E333">
        <v>0</v>
      </c>
      <c r="F333" s="5">
        <v>3.57341843491278E-12</v>
      </c>
      <c r="G333" s="5">
        <v>5.0170004494294097E-93</v>
      </c>
      <c r="K333" s="5"/>
    </row>
    <row r="334" spans="1:11" x14ac:dyDescent="0.25">
      <c r="A334" t="s">
        <v>75</v>
      </c>
      <c r="B334" t="s">
        <v>2</v>
      </c>
      <c r="C334">
        <v>0</v>
      </c>
      <c r="D334">
        <v>0</v>
      </c>
      <c r="E334">
        <v>0</v>
      </c>
      <c r="F334" s="5">
        <v>1.30570883438485E-5</v>
      </c>
      <c r="G334" s="5">
        <v>7.4691883853996699E-14</v>
      </c>
      <c r="K334" s="5"/>
    </row>
    <row r="335" spans="1:11" x14ac:dyDescent="0.25">
      <c r="A335" t="s">
        <v>74</v>
      </c>
      <c r="B335" t="s">
        <v>2</v>
      </c>
      <c r="C335">
        <v>0</v>
      </c>
      <c r="D335">
        <v>0</v>
      </c>
      <c r="E335">
        <v>0</v>
      </c>
      <c r="F335" s="5">
        <v>1.2392545756537501E-5</v>
      </c>
      <c r="G335" s="5">
        <v>1.7398860156616501E-86</v>
      </c>
      <c r="K335" s="5"/>
    </row>
    <row r="336" spans="1:11" x14ac:dyDescent="0.25">
      <c r="A336" t="s">
        <v>73</v>
      </c>
      <c r="B336" t="s">
        <v>2</v>
      </c>
      <c r="C336">
        <v>0</v>
      </c>
      <c r="D336">
        <v>0</v>
      </c>
      <c r="E336">
        <v>0</v>
      </c>
      <c r="F336" s="5">
        <v>1.16680774952925E-5</v>
      </c>
      <c r="G336" s="5">
        <v>1.02751726991426E-15</v>
      </c>
      <c r="K336" s="5"/>
    </row>
    <row r="337" spans="1:11" x14ac:dyDescent="0.25">
      <c r="A337" t="s">
        <v>72</v>
      </c>
      <c r="B337" t="s">
        <v>2</v>
      </c>
      <c r="C337">
        <v>0</v>
      </c>
      <c r="D337">
        <v>0</v>
      </c>
      <c r="E337">
        <v>0</v>
      </c>
      <c r="F337" s="5">
        <v>6.2797269982580504E-12</v>
      </c>
      <c r="G337" s="5">
        <v>1.9008712174986801E-23</v>
      </c>
      <c r="K337" s="5"/>
    </row>
    <row r="338" spans="1:11" x14ac:dyDescent="0.25">
      <c r="A338" t="s">
        <v>71</v>
      </c>
      <c r="B338" t="s">
        <v>2</v>
      </c>
      <c r="C338">
        <v>0</v>
      </c>
      <c r="D338">
        <v>0</v>
      </c>
      <c r="E338">
        <v>0</v>
      </c>
      <c r="F338" s="5">
        <v>3.64272523218951E-12</v>
      </c>
      <c r="G338" s="5">
        <v>2.4226718650381201E-23</v>
      </c>
      <c r="K338" s="5"/>
    </row>
    <row r="339" spans="1:11" x14ac:dyDescent="0.25">
      <c r="A339" t="s">
        <v>70</v>
      </c>
      <c r="B339" t="s">
        <v>2</v>
      </c>
      <c r="C339">
        <v>0</v>
      </c>
      <c r="D339">
        <v>0</v>
      </c>
      <c r="E339">
        <v>0</v>
      </c>
      <c r="F339" s="5">
        <v>2.0651328302105802E-9</v>
      </c>
      <c r="G339" s="5">
        <v>1.12377319332749E-11</v>
      </c>
      <c r="K339" s="5"/>
    </row>
    <row r="340" spans="1:11" x14ac:dyDescent="0.25">
      <c r="A340" t="s">
        <v>69</v>
      </c>
      <c r="B340" t="s">
        <v>2</v>
      </c>
      <c r="C340">
        <v>0</v>
      </c>
      <c r="D340">
        <v>0</v>
      </c>
      <c r="E340">
        <v>0</v>
      </c>
      <c r="F340" s="5">
        <v>1.88654111076637E-13</v>
      </c>
      <c r="G340" s="5">
        <v>6.6966217320100805E-22</v>
      </c>
      <c r="K340" s="5"/>
    </row>
    <row r="341" spans="1:11" x14ac:dyDescent="0.25">
      <c r="A341" t="s">
        <v>68</v>
      </c>
      <c r="B341" t="s">
        <v>2</v>
      </c>
      <c r="C341">
        <v>0</v>
      </c>
      <c r="D341">
        <v>0</v>
      </c>
      <c r="E341">
        <v>0</v>
      </c>
      <c r="F341" s="5">
        <v>2.5966660957821001E-11</v>
      </c>
      <c r="G341" s="5">
        <v>2.4482109251919701E-19</v>
      </c>
      <c r="K341" s="5"/>
    </row>
    <row r="342" spans="1:11" x14ac:dyDescent="0.25">
      <c r="A342" t="s">
        <v>67</v>
      </c>
      <c r="B342" t="s">
        <v>2</v>
      </c>
      <c r="C342">
        <v>0</v>
      </c>
      <c r="D342">
        <v>0</v>
      </c>
      <c r="E342">
        <v>0</v>
      </c>
      <c r="F342" s="5">
        <v>3.8797844855029598E-12</v>
      </c>
      <c r="G342" s="5">
        <v>5.4471316085692504E-93</v>
      </c>
      <c r="K342" s="5"/>
    </row>
    <row r="343" spans="1:11" x14ac:dyDescent="0.25">
      <c r="A343" t="s">
        <v>66</v>
      </c>
      <c r="B343" t="s">
        <v>2</v>
      </c>
      <c r="C343">
        <v>0</v>
      </c>
      <c r="D343">
        <v>0</v>
      </c>
      <c r="E343">
        <v>0</v>
      </c>
      <c r="F343" s="5">
        <v>2.0015857006396601E-13</v>
      </c>
      <c r="G343" s="5">
        <v>2.8101820546872898E-94</v>
      </c>
      <c r="K343" s="5"/>
    </row>
    <row r="344" spans="1:11" x14ac:dyDescent="0.25">
      <c r="A344" t="s">
        <v>65</v>
      </c>
      <c r="B344" t="s">
        <v>2</v>
      </c>
      <c r="C344">
        <v>0</v>
      </c>
      <c r="D344">
        <v>0</v>
      </c>
      <c r="E344">
        <v>0</v>
      </c>
      <c r="F344" s="5">
        <v>2.5864993721767001E-12</v>
      </c>
      <c r="G344" s="5">
        <v>3.63138791300721E-93</v>
      </c>
      <c r="K344" s="5"/>
    </row>
    <row r="345" spans="1:11" x14ac:dyDescent="0.25">
      <c r="A345" t="s">
        <v>64</v>
      </c>
      <c r="B345" t="s">
        <v>2</v>
      </c>
      <c r="C345">
        <v>0</v>
      </c>
      <c r="D345">
        <v>0</v>
      </c>
      <c r="E345">
        <v>0</v>
      </c>
      <c r="F345" s="5">
        <v>2.7636657717271199E-11</v>
      </c>
      <c r="G345" s="5">
        <v>3.88012561959204E-92</v>
      </c>
      <c r="K345" s="5"/>
    </row>
    <row r="346" spans="1:11" x14ac:dyDescent="0.25">
      <c r="A346" t="s">
        <v>63</v>
      </c>
      <c r="B346" t="s">
        <v>2</v>
      </c>
      <c r="C346">
        <v>0</v>
      </c>
      <c r="D346">
        <v>0</v>
      </c>
      <c r="E346">
        <v>0</v>
      </c>
      <c r="F346" s="5">
        <v>6.05749755030118E-10</v>
      </c>
      <c r="G346" s="5">
        <v>2.1502192295436401E-18</v>
      </c>
      <c r="K346" s="5"/>
    </row>
    <row r="347" spans="1:11" x14ac:dyDescent="0.25">
      <c r="A347" t="s">
        <v>62</v>
      </c>
      <c r="B347" t="s">
        <v>2</v>
      </c>
      <c r="C347">
        <v>0</v>
      </c>
      <c r="D347">
        <v>0</v>
      </c>
      <c r="E347">
        <v>0</v>
      </c>
      <c r="F347" s="5">
        <v>6.9866532621225204E-7</v>
      </c>
      <c r="G347" s="5">
        <v>2.1148575561160401E-18</v>
      </c>
      <c r="K347" s="5"/>
    </row>
    <row r="348" spans="1:11" x14ac:dyDescent="0.25">
      <c r="A348" t="s">
        <v>61</v>
      </c>
      <c r="B348" t="s">
        <v>2</v>
      </c>
      <c r="C348">
        <v>0</v>
      </c>
      <c r="D348">
        <v>0</v>
      </c>
      <c r="E348">
        <v>0</v>
      </c>
      <c r="F348" s="5">
        <v>7.0144674186900799E-13</v>
      </c>
      <c r="G348" s="5">
        <v>2.1232768918089801E-24</v>
      </c>
      <c r="K348" s="5"/>
    </row>
    <row r="349" spans="1:11" x14ac:dyDescent="0.25">
      <c r="A349" t="s">
        <v>60</v>
      </c>
      <c r="B349" t="s">
        <v>2</v>
      </c>
      <c r="C349">
        <v>0</v>
      </c>
      <c r="D349">
        <v>0</v>
      </c>
      <c r="E349">
        <v>0</v>
      </c>
      <c r="F349" s="5">
        <v>2.5195141636807799E-10</v>
      </c>
      <c r="G349" s="5">
        <v>1.6756564629074699E-21</v>
      </c>
      <c r="K349" s="5"/>
    </row>
    <row r="350" spans="1:11" x14ac:dyDescent="0.25">
      <c r="A350" t="s">
        <v>59</v>
      </c>
      <c r="B350" t="s">
        <v>2</v>
      </c>
      <c r="C350">
        <v>0</v>
      </c>
      <c r="D350">
        <v>0</v>
      </c>
      <c r="E350">
        <v>0</v>
      </c>
      <c r="F350" s="5">
        <v>2.1574683691385001E-6</v>
      </c>
      <c r="G350" s="5">
        <v>1.17401897021926E-8</v>
      </c>
      <c r="K350" s="5"/>
    </row>
    <row r="351" spans="1:11" x14ac:dyDescent="0.25">
      <c r="A351" t="s">
        <v>58</v>
      </c>
      <c r="B351" t="s">
        <v>2</v>
      </c>
      <c r="C351">
        <v>0</v>
      </c>
      <c r="D351">
        <v>0</v>
      </c>
      <c r="E351">
        <v>0</v>
      </c>
      <c r="F351" s="5">
        <v>4.8507252191365102E-13</v>
      </c>
      <c r="G351" s="5">
        <v>2.6395953275835299E-15</v>
      </c>
      <c r="K351" s="5"/>
    </row>
    <row r="352" spans="1:11" x14ac:dyDescent="0.25">
      <c r="A352" t="s">
        <v>57</v>
      </c>
      <c r="B352" t="s">
        <v>2</v>
      </c>
      <c r="C352">
        <v>0</v>
      </c>
      <c r="D352">
        <v>0</v>
      </c>
      <c r="E352">
        <v>0</v>
      </c>
      <c r="F352" s="5">
        <v>4.1033899620972997E-6</v>
      </c>
      <c r="G352" s="5">
        <v>3.86879320057664E-14</v>
      </c>
      <c r="K352" s="5"/>
    </row>
    <row r="353" spans="1:11" x14ac:dyDescent="0.25">
      <c r="A353" t="s">
        <v>56</v>
      </c>
      <c r="B353" t="s">
        <v>2</v>
      </c>
      <c r="C353">
        <v>0</v>
      </c>
      <c r="D353">
        <v>0</v>
      </c>
      <c r="E353">
        <v>0</v>
      </c>
      <c r="F353" s="5">
        <v>1.33833721776657E-10</v>
      </c>
      <c r="G353" s="5">
        <v>1.8789958537802299E-91</v>
      </c>
      <c r="K353" s="5"/>
    </row>
    <row r="354" spans="1:11" x14ac:dyDescent="0.25">
      <c r="A354" t="s">
        <v>55</v>
      </c>
      <c r="B354" t="s">
        <v>2</v>
      </c>
      <c r="C354">
        <v>0</v>
      </c>
      <c r="D354">
        <v>0</v>
      </c>
      <c r="E354">
        <v>0</v>
      </c>
      <c r="F354" s="5">
        <v>7.6262273363353903E-7</v>
      </c>
      <c r="G354" s="5">
        <v>1.07070545111741E-87</v>
      </c>
      <c r="K354" s="5"/>
    </row>
    <row r="355" spans="1:11" x14ac:dyDescent="0.25">
      <c r="A355" t="s">
        <v>54</v>
      </c>
      <c r="B355" t="s">
        <v>2</v>
      </c>
      <c r="C355">
        <v>0</v>
      </c>
      <c r="D355">
        <v>0</v>
      </c>
      <c r="E355">
        <v>0</v>
      </c>
      <c r="F355" s="5">
        <v>0</v>
      </c>
      <c r="G355" s="5">
        <v>0</v>
      </c>
      <c r="K355" s="5"/>
    </row>
    <row r="356" spans="1:11" x14ac:dyDescent="0.25">
      <c r="A356" t="s">
        <v>53</v>
      </c>
      <c r="B356" t="s">
        <v>2</v>
      </c>
      <c r="C356">
        <v>0</v>
      </c>
      <c r="D356">
        <v>0</v>
      </c>
      <c r="E356">
        <v>0</v>
      </c>
      <c r="F356" s="5">
        <v>1.9306683436430901E-8</v>
      </c>
      <c r="G356" s="5">
        <v>2.7106156539411599E-89</v>
      </c>
      <c r="K356" s="5"/>
    </row>
    <row r="357" spans="1:11" x14ac:dyDescent="0.25">
      <c r="A357" t="s">
        <v>52</v>
      </c>
      <c r="B357" t="s">
        <v>2</v>
      </c>
      <c r="C357">
        <v>0</v>
      </c>
      <c r="D357">
        <v>0</v>
      </c>
      <c r="E357">
        <v>0</v>
      </c>
      <c r="F357" s="5">
        <v>3.7482204129166298E-4</v>
      </c>
      <c r="G357" s="5">
        <v>5.2624185604567005E-85</v>
      </c>
      <c r="K357" s="5"/>
    </row>
    <row r="358" spans="1:11" x14ac:dyDescent="0.25">
      <c r="A358" t="s">
        <v>51</v>
      </c>
      <c r="B358" t="s">
        <v>2</v>
      </c>
      <c r="C358" s="1">
        <v>0</v>
      </c>
      <c r="D358" s="1">
        <v>0</v>
      </c>
      <c r="E358" s="1">
        <v>0</v>
      </c>
      <c r="F358" s="5">
        <v>0</v>
      </c>
      <c r="G358" s="5">
        <v>0</v>
      </c>
      <c r="K358" s="5"/>
    </row>
    <row r="359" spans="1:11" x14ac:dyDescent="0.25">
      <c r="A359" t="s">
        <v>50</v>
      </c>
      <c r="B359" t="s">
        <v>2</v>
      </c>
      <c r="C359">
        <v>0</v>
      </c>
      <c r="D359">
        <v>0</v>
      </c>
      <c r="E359">
        <v>0</v>
      </c>
      <c r="F359" s="5">
        <v>3.9965971305559703E-15</v>
      </c>
      <c r="G359" s="5">
        <v>0</v>
      </c>
      <c r="K359" s="5"/>
    </row>
    <row r="360" spans="1:11" x14ac:dyDescent="0.25">
      <c r="A360" t="s">
        <v>49</v>
      </c>
      <c r="B360" t="s">
        <v>2</v>
      </c>
      <c r="C360">
        <v>0</v>
      </c>
      <c r="D360">
        <v>0</v>
      </c>
      <c r="E360">
        <v>0</v>
      </c>
      <c r="F360" s="5">
        <v>4.8714019992187598E-14</v>
      </c>
      <c r="G360" s="5">
        <v>9.5320546530786205E-30</v>
      </c>
      <c r="K360" s="5"/>
    </row>
    <row r="361" spans="1:11" x14ac:dyDescent="0.25">
      <c r="A361" t="s">
        <v>48</v>
      </c>
      <c r="B361" t="s">
        <v>2</v>
      </c>
      <c r="C361">
        <v>0</v>
      </c>
      <c r="D361">
        <v>0</v>
      </c>
      <c r="E361">
        <v>0</v>
      </c>
      <c r="F361" s="5">
        <v>7.8575511889209208E-6</v>
      </c>
      <c r="G361" s="5">
        <v>0</v>
      </c>
      <c r="K361" s="5"/>
    </row>
    <row r="362" spans="1:11" x14ac:dyDescent="0.25">
      <c r="A362" t="s">
        <v>47</v>
      </c>
      <c r="B362" t="s">
        <v>2</v>
      </c>
      <c r="C362">
        <v>0</v>
      </c>
      <c r="D362">
        <v>0</v>
      </c>
      <c r="E362">
        <v>0</v>
      </c>
      <c r="F362" s="5">
        <v>2.0672000410933101E-9</v>
      </c>
      <c r="G362" s="5">
        <v>0</v>
      </c>
      <c r="K362" s="5"/>
    </row>
    <row r="363" spans="1:11" x14ac:dyDescent="0.25">
      <c r="A363" t="s">
        <v>46</v>
      </c>
      <c r="B363" t="s">
        <v>2</v>
      </c>
      <c r="C363" s="1">
        <v>0</v>
      </c>
      <c r="D363" s="1">
        <v>5.17781357249497E-6</v>
      </c>
      <c r="E363" s="1">
        <v>5.1778135724950597E-6</v>
      </c>
      <c r="F363" s="5">
        <v>9.1928760611529707E-6</v>
      </c>
      <c r="G363" s="5">
        <v>0</v>
      </c>
      <c r="K363" s="5"/>
    </row>
    <row r="364" spans="1:11" x14ac:dyDescent="0.25">
      <c r="A364" t="s">
        <v>45</v>
      </c>
      <c r="B364" t="s">
        <v>2</v>
      </c>
      <c r="C364">
        <v>0</v>
      </c>
      <c r="D364">
        <v>0</v>
      </c>
      <c r="E364">
        <v>0</v>
      </c>
      <c r="F364" s="5">
        <v>0</v>
      </c>
      <c r="G364" s="5">
        <v>0</v>
      </c>
      <c r="K364" s="5"/>
    </row>
    <row r="365" spans="1:11" x14ac:dyDescent="0.25">
      <c r="A365" t="s">
        <v>44</v>
      </c>
      <c r="B365" t="s">
        <v>2</v>
      </c>
      <c r="C365">
        <v>0</v>
      </c>
      <c r="D365">
        <v>0</v>
      </c>
      <c r="E365">
        <v>0</v>
      </c>
      <c r="F365" s="5">
        <v>0</v>
      </c>
      <c r="G365" s="5">
        <v>0</v>
      </c>
      <c r="K365" s="5"/>
    </row>
    <row r="366" spans="1:11" x14ac:dyDescent="0.25">
      <c r="A366" t="s">
        <v>43</v>
      </c>
      <c r="B366" t="s">
        <v>2</v>
      </c>
      <c r="C366">
        <v>0</v>
      </c>
      <c r="D366">
        <v>0</v>
      </c>
      <c r="E366">
        <v>0</v>
      </c>
      <c r="F366" s="5">
        <v>3.5262002112996998E-10</v>
      </c>
      <c r="G366" s="5">
        <v>0</v>
      </c>
      <c r="K366" s="5"/>
    </row>
    <row r="367" spans="1:11" x14ac:dyDescent="0.25">
      <c r="A367" t="s">
        <v>42</v>
      </c>
      <c r="B367" t="s">
        <v>2</v>
      </c>
      <c r="C367" s="1">
        <v>0</v>
      </c>
      <c r="D367" s="1">
        <v>0</v>
      </c>
      <c r="E367" s="1">
        <v>0</v>
      </c>
      <c r="F367" s="5">
        <v>3.4104405849574901E-2</v>
      </c>
      <c r="G367" s="5">
        <v>4.7881831526683802E-83</v>
      </c>
      <c r="K367" s="5"/>
    </row>
    <row r="368" spans="1:11" x14ac:dyDescent="0.25">
      <c r="A368" t="s">
        <v>41</v>
      </c>
      <c r="B368" t="s">
        <v>2</v>
      </c>
      <c r="C368">
        <v>0</v>
      </c>
      <c r="D368" s="1">
        <v>1.1094802234225799E-6</v>
      </c>
      <c r="E368" s="1">
        <v>1.1094802234225901E-6</v>
      </c>
      <c r="F368" s="5">
        <v>1.30665332716913E-3</v>
      </c>
      <c r="G368" s="5">
        <v>1.83451237213309E-84</v>
      </c>
      <c r="K368" s="5"/>
    </row>
    <row r="369" spans="1:11" x14ac:dyDescent="0.25">
      <c r="A369" t="s">
        <v>40</v>
      </c>
      <c r="B369" t="s">
        <v>2</v>
      </c>
      <c r="C369" s="1">
        <v>0</v>
      </c>
      <c r="D369" s="1">
        <v>0</v>
      </c>
      <c r="E369" s="1">
        <v>0</v>
      </c>
      <c r="F369" s="5">
        <v>0</v>
      </c>
      <c r="G369" s="5">
        <v>0</v>
      </c>
      <c r="K369" s="5"/>
    </row>
    <row r="370" spans="1:11" x14ac:dyDescent="0.25">
      <c r="A370" t="s">
        <v>39</v>
      </c>
      <c r="B370" t="s">
        <v>2</v>
      </c>
      <c r="C370">
        <v>0</v>
      </c>
      <c r="D370">
        <v>0</v>
      </c>
      <c r="E370">
        <v>0</v>
      </c>
      <c r="F370" s="5">
        <v>0</v>
      </c>
      <c r="G370" s="5">
        <v>0</v>
      </c>
      <c r="K370" s="5"/>
    </row>
    <row r="371" spans="1:11" x14ac:dyDescent="0.25">
      <c r="A371" t="s">
        <v>38</v>
      </c>
      <c r="B371" t="s">
        <v>2</v>
      </c>
      <c r="C371">
        <v>0</v>
      </c>
      <c r="D371">
        <v>0</v>
      </c>
      <c r="E371">
        <v>0</v>
      </c>
      <c r="F371" s="5">
        <v>0</v>
      </c>
      <c r="G371" s="5">
        <v>0</v>
      </c>
      <c r="K371" s="5"/>
    </row>
    <row r="372" spans="1:11" x14ac:dyDescent="0.25">
      <c r="A372" t="s">
        <v>37</v>
      </c>
      <c r="B372" t="s">
        <v>2</v>
      </c>
      <c r="C372" s="1">
        <v>0</v>
      </c>
      <c r="D372" s="1">
        <v>1.70953881783178E-6</v>
      </c>
      <c r="E372" s="1">
        <v>1.7095388178318101E-6</v>
      </c>
      <c r="F372" s="5">
        <v>1.0210974130940899E-4</v>
      </c>
      <c r="G372" s="5">
        <v>1.4335981844033001E-85</v>
      </c>
      <c r="K372" s="5"/>
    </row>
    <row r="373" spans="1:11" x14ac:dyDescent="0.25">
      <c r="A373" t="s">
        <v>36</v>
      </c>
      <c r="B373" t="s">
        <v>2</v>
      </c>
      <c r="C373">
        <v>0</v>
      </c>
      <c r="D373">
        <v>0</v>
      </c>
      <c r="E373">
        <v>0</v>
      </c>
      <c r="F373" s="5">
        <v>5.1869118368242399E-3</v>
      </c>
      <c r="G373" s="5">
        <v>0</v>
      </c>
      <c r="K373" s="5"/>
    </row>
    <row r="374" spans="1:11" x14ac:dyDescent="0.25">
      <c r="A374" t="s">
        <v>35</v>
      </c>
      <c r="B374" t="s">
        <v>2</v>
      </c>
      <c r="C374">
        <v>0</v>
      </c>
      <c r="D374" s="1">
        <v>2.0330883877715301E-6</v>
      </c>
      <c r="E374" s="1">
        <v>2.0330883877715602E-6</v>
      </c>
      <c r="F374" s="5">
        <v>0</v>
      </c>
      <c r="G374" s="5">
        <v>0</v>
      </c>
      <c r="K374" s="5"/>
    </row>
    <row r="375" spans="1:11" x14ac:dyDescent="0.25">
      <c r="A375" t="s">
        <v>34</v>
      </c>
      <c r="B375" t="s">
        <v>2</v>
      </c>
      <c r="C375">
        <v>0</v>
      </c>
      <c r="D375">
        <v>0</v>
      </c>
      <c r="E375">
        <v>0</v>
      </c>
      <c r="F375" s="5">
        <v>0</v>
      </c>
      <c r="G375" s="5">
        <v>0</v>
      </c>
      <c r="K375" s="5"/>
    </row>
    <row r="376" spans="1:11" x14ac:dyDescent="0.25">
      <c r="A376" t="s">
        <v>33</v>
      </c>
      <c r="B376" t="s">
        <v>2</v>
      </c>
      <c r="C376">
        <v>0</v>
      </c>
      <c r="D376">
        <v>0</v>
      </c>
      <c r="E376">
        <v>0</v>
      </c>
      <c r="F376" s="5">
        <v>2.0608981125911301E-4</v>
      </c>
      <c r="G376" s="5">
        <v>2.8934553692563099E-85</v>
      </c>
      <c r="K376" s="5"/>
    </row>
    <row r="377" spans="1:11" x14ac:dyDescent="0.25">
      <c r="A377" t="s">
        <v>32</v>
      </c>
      <c r="B377" t="s">
        <v>2</v>
      </c>
      <c r="C377">
        <v>0</v>
      </c>
      <c r="D377" s="1">
        <v>1.40954756885458E-6</v>
      </c>
      <c r="E377" s="1">
        <v>1.4095475688546101E-6</v>
      </c>
      <c r="F377" s="5">
        <v>1.26984385695999E-2</v>
      </c>
      <c r="G377" s="5">
        <v>0</v>
      </c>
      <c r="K377" s="5"/>
    </row>
    <row r="378" spans="1:11" x14ac:dyDescent="0.25">
      <c r="A378" t="s">
        <v>31</v>
      </c>
      <c r="B378" t="s">
        <v>2</v>
      </c>
      <c r="C378">
        <v>0</v>
      </c>
      <c r="D378">
        <v>0</v>
      </c>
      <c r="E378">
        <v>0</v>
      </c>
      <c r="F378" s="5">
        <v>2.0282327623910098E-6</v>
      </c>
      <c r="G378" s="5">
        <v>2.8475939400339201E-87</v>
      </c>
      <c r="K378" s="5"/>
    </row>
    <row r="379" spans="1:11" x14ac:dyDescent="0.25">
      <c r="A379" t="s">
        <v>30</v>
      </c>
      <c r="B379" t="s">
        <v>2</v>
      </c>
      <c r="C379">
        <v>0</v>
      </c>
      <c r="D379">
        <v>0</v>
      </c>
      <c r="E379">
        <v>0</v>
      </c>
      <c r="F379" s="5">
        <v>0</v>
      </c>
      <c r="G379" s="5">
        <v>0</v>
      </c>
      <c r="K379" s="5"/>
    </row>
    <row r="380" spans="1:11" x14ac:dyDescent="0.25">
      <c r="A380" t="s">
        <v>29</v>
      </c>
      <c r="B380" t="s">
        <v>2</v>
      </c>
      <c r="F380" s="5">
        <v>1.3126017765600199E-19</v>
      </c>
      <c r="G380" s="5">
        <v>5.2194839335490201E-96</v>
      </c>
      <c r="K380" s="5"/>
    </row>
    <row r="381" spans="1:11" x14ac:dyDescent="0.25">
      <c r="A381" t="s">
        <v>28</v>
      </c>
      <c r="B381" t="s">
        <v>2</v>
      </c>
      <c r="C381">
        <v>0.94084676208587703</v>
      </c>
      <c r="D381">
        <v>0.95439477510083104</v>
      </c>
      <c r="E381">
        <v>0</v>
      </c>
      <c r="F381" s="5">
        <v>1.0656368275237801E-4</v>
      </c>
      <c r="G381" s="5">
        <v>1.49613053718569E-85</v>
      </c>
      <c r="K381" s="5"/>
    </row>
    <row r="382" spans="1:11" x14ac:dyDescent="0.25">
      <c r="A382" t="s">
        <v>27</v>
      </c>
      <c r="B382" t="s">
        <v>2</v>
      </c>
      <c r="C382">
        <v>0</v>
      </c>
      <c r="D382" s="1">
        <v>5.9465739414092801E-5</v>
      </c>
      <c r="E382">
        <v>0</v>
      </c>
      <c r="F382" s="5">
        <v>7.9358241778174597E-3</v>
      </c>
      <c r="G382" s="5">
        <v>0</v>
      </c>
      <c r="K382" s="5"/>
    </row>
    <row r="383" spans="1:11" x14ac:dyDescent="0.25">
      <c r="A383" t="s">
        <v>26</v>
      </c>
      <c r="B383" t="s">
        <v>2</v>
      </c>
      <c r="C383">
        <v>0</v>
      </c>
      <c r="D383" s="1">
        <v>2.8917799392753901E-6</v>
      </c>
      <c r="E383">
        <v>0</v>
      </c>
      <c r="F383" s="5">
        <v>0</v>
      </c>
      <c r="G383" s="5">
        <v>0</v>
      </c>
      <c r="K383" s="5"/>
    </row>
    <row r="384" spans="1:11" x14ac:dyDescent="0.25">
      <c r="A384" t="s">
        <v>331</v>
      </c>
      <c r="B384" t="s">
        <v>2</v>
      </c>
      <c r="C384">
        <v>1.00090081072966E-2</v>
      </c>
      <c r="D384" s="1">
        <v>4.0094009520626399E-6</v>
      </c>
      <c r="E384">
        <v>0</v>
      </c>
      <c r="F384" s="5">
        <v>2.4914782246774902E-9</v>
      </c>
      <c r="G384" s="5">
        <v>2.1022706899867998E-9</v>
      </c>
      <c r="K384" s="5"/>
    </row>
    <row r="385" spans="1:11" x14ac:dyDescent="0.25">
      <c r="A385" t="s">
        <v>332</v>
      </c>
      <c r="B385" t="s">
        <v>2</v>
      </c>
      <c r="C385" s="1">
        <v>0</v>
      </c>
      <c r="D385" s="1">
        <v>1.9443657905455301E-4</v>
      </c>
      <c r="E385" s="1">
        <v>0</v>
      </c>
      <c r="F385" s="5">
        <v>2.5041454254363701E-2</v>
      </c>
      <c r="G385" s="5">
        <v>0</v>
      </c>
      <c r="K385" s="5"/>
    </row>
    <row r="386" spans="1:11" x14ac:dyDescent="0.25">
      <c r="A386" t="s">
        <v>1</v>
      </c>
      <c r="C386">
        <v>0</v>
      </c>
      <c r="D386">
        <v>3.6723457309817201E-3</v>
      </c>
      <c r="E386">
        <v>0</v>
      </c>
      <c r="F386" s="5"/>
      <c r="G386" s="5"/>
      <c r="K386" s="5"/>
    </row>
    <row r="387" spans="1:11" x14ac:dyDescent="0.25">
      <c r="A387" t="s">
        <v>142</v>
      </c>
      <c r="C387">
        <v>0</v>
      </c>
      <c r="D387">
        <v>3.0678925763721302E-3</v>
      </c>
      <c r="E387">
        <v>0</v>
      </c>
      <c r="F387" s="5">
        <v>2.3330739725521899E-2</v>
      </c>
      <c r="G387" s="5">
        <v>0.16817686465678999</v>
      </c>
      <c r="K387" s="5"/>
    </row>
    <row r="388" spans="1:11" x14ac:dyDescent="0.25">
      <c r="A388" t="s">
        <v>141</v>
      </c>
      <c r="C388">
        <v>0</v>
      </c>
      <c r="D388" s="1">
        <v>8.7182338346589197E-9</v>
      </c>
      <c r="E388">
        <v>0</v>
      </c>
      <c r="F388" s="5"/>
      <c r="G388" s="5"/>
      <c r="K388" s="5"/>
    </row>
    <row r="389" spans="1:11" x14ac:dyDescent="0.25">
      <c r="A389" t="s">
        <v>140</v>
      </c>
      <c r="C389">
        <v>0</v>
      </c>
      <c r="D389">
        <v>0</v>
      </c>
      <c r="E389">
        <v>0</v>
      </c>
      <c r="F389" s="5"/>
      <c r="G389" s="5">
        <v>-135213309.170486</v>
      </c>
      <c r="K389" s="5"/>
    </row>
    <row r="390" spans="1:11" x14ac:dyDescent="0.25">
      <c r="A390" t="s">
        <v>139</v>
      </c>
      <c r="C390">
        <v>0</v>
      </c>
      <c r="D390">
        <v>0</v>
      </c>
      <c r="E390">
        <v>0</v>
      </c>
      <c r="F390" s="5"/>
      <c r="G390" s="5">
        <v>-6467434.3985699899</v>
      </c>
      <c r="K390" s="5"/>
    </row>
    <row r="391" spans="1:11" x14ac:dyDescent="0.25">
      <c r="A391" t="s">
        <v>138</v>
      </c>
      <c r="C391">
        <v>1.0009008107296599E-4</v>
      </c>
      <c r="D391">
        <v>1.85086534803019E-4</v>
      </c>
      <c r="E391">
        <v>0</v>
      </c>
      <c r="F391" s="5"/>
      <c r="G391" s="5">
        <v>-56359.758347601201</v>
      </c>
      <c r="K391" s="5"/>
    </row>
    <row r="392" spans="1:11" x14ac:dyDescent="0.25">
      <c r="A392" t="s">
        <v>137</v>
      </c>
      <c r="C392">
        <v>0</v>
      </c>
      <c r="D392">
        <v>0</v>
      </c>
      <c r="E392">
        <v>0</v>
      </c>
      <c r="F392" s="5"/>
      <c r="G392" s="5">
        <v>-2695.7630285697501</v>
      </c>
      <c r="K392" s="5"/>
    </row>
    <row r="393" spans="1:11" x14ac:dyDescent="0.25">
      <c r="A393" t="s">
        <v>136</v>
      </c>
      <c r="C393">
        <v>0</v>
      </c>
      <c r="D393">
        <v>5.76989102814459E-3</v>
      </c>
      <c r="E393">
        <v>0</v>
      </c>
      <c r="F393" s="5"/>
      <c r="G393" s="5">
        <v>3.7154849870865099E-2</v>
      </c>
      <c r="K393" s="5"/>
    </row>
    <row r="394" spans="1:11" x14ac:dyDescent="0.25">
      <c r="A394" t="s">
        <v>135</v>
      </c>
      <c r="C394">
        <v>0</v>
      </c>
      <c r="D394">
        <v>1.94259760847477E-3</v>
      </c>
      <c r="E394">
        <v>0</v>
      </c>
      <c r="F394" s="5"/>
      <c r="G394" s="5">
        <v>0.77678873772312296</v>
      </c>
      <c r="K394" s="5"/>
    </row>
    <row r="395" spans="1:11" x14ac:dyDescent="0.25">
      <c r="A395" t="s">
        <v>134</v>
      </c>
      <c r="C395">
        <v>0</v>
      </c>
      <c r="D395" s="1">
        <v>6.1799601919678904E-5</v>
      </c>
      <c r="E395">
        <v>0</v>
      </c>
      <c r="F395" s="5"/>
      <c r="G395" s="5">
        <v>-0.23469222557509101</v>
      </c>
      <c r="K395" s="5"/>
    </row>
    <row r="396" spans="1:11" x14ac:dyDescent="0.25">
      <c r="A396" t="s">
        <v>133</v>
      </c>
      <c r="C396">
        <v>0</v>
      </c>
      <c r="D396" s="1">
        <v>4.4534739043911302E-21</v>
      </c>
      <c r="E396">
        <v>0</v>
      </c>
      <c r="F396" s="5"/>
      <c r="G396" s="5">
        <v>20.9067925297214</v>
      </c>
      <c r="K396" s="5"/>
    </row>
    <row r="397" spans="1:11" x14ac:dyDescent="0.25">
      <c r="A397" t="s">
        <v>132</v>
      </c>
      <c r="C397">
        <v>0</v>
      </c>
      <c r="D397" s="1">
        <v>7.5859084180275199E-21</v>
      </c>
      <c r="E397">
        <v>0</v>
      </c>
      <c r="F397" s="5"/>
      <c r="G397" s="5">
        <v>6.2485861580758304E-6</v>
      </c>
      <c r="K397" s="5"/>
    </row>
    <row r="398" spans="1:11" x14ac:dyDescent="0.25">
      <c r="A398" t="s">
        <v>131</v>
      </c>
      <c r="C398">
        <v>0</v>
      </c>
      <c r="D398" s="1">
        <v>4.5554819999408299E-20</v>
      </c>
      <c r="E398">
        <v>0</v>
      </c>
      <c r="F398" s="5"/>
      <c r="G398" s="5"/>
      <c r="K398" s="5"/>
    </row>
    <row r="399" spans="1:11" x14ac:dyDescent="0.25">
      <c r="A399" t="s">
        <v>130</v>
      </c>
      <c r="C399">
        <v>0</v>
      </c>
      <c r="D399" s="1">
        <v>5.2427556243442197E-22</v>
      </c>
      <c r="E399">
        <v>0</v>
      </c>
      <c r="F399" s="5"/>
      <c r="G399" s="5">
        <v>3.1353094658635402E-3</v>
      </c>
      <c r="K399" s="5"/>
    </row>
    <row r="400" spans="1:11" x14ac:dyDescent="0.25">
      <c r="A400" t="s">
        <v>129</v>
      </c>
      <c r="C400">
        <v>0</v>
      </c>
      <c r="D400" s="1">
        <v>4.6885297802388302E-5</v>
      </c>
      <c r="E400">
        <v>0</v>
      </c>
      <c r="F400" s="5"/>
      <c r="G400" s="5"/>
      <c r="K400" s="5"/>
    </row>
    <row r="401" spans="1:11" x14ac:dyDescent="0.25">
      <c r="A401" t="s">
        <v>128</v>
      </c>
      <c r="C401">
        <v>0</v>
      </c>
      <c r="D401" s="1">
        <v>6.3467580824610204E-5</v>
      </c>
      <c r="E401">
        <v>0</v>
      </c>
      <c r="F401" s="5"/>
      <c r="G401" s="5"/>
      <c r="K401" s="5"/>
    </row>
    <row r="402" spans="1:11" x14ac:dyDescent="0.25">
      <c r="A402" t="s">
        <v>127</v>
      </c>
      <c r="C402">
        <v>0</v>
      </c>
      <c r="D402" s="1">
        <v>1.61172110991437E-19</v>
      </c>
      <c r="E402">
        <v>0</v>
      </c>
      <c r="F402" s="5">
        <v>-45941569.250403002</v>
      </c>
      <c r="G402" s="5"/>
      <c r="K402" s="5"/>
    </row>
    <row r="403" spans="1:11" x14ac:dyDescent="0.25">
      <c r="A403" t="s">
        <v>126</v>
      </c>
      <c r="C403">
        <v>0</v>
      </c>
      <c r="D403" s="1">
        <v>4.4136890802886498E-5</v>
      </c>
      <c r="E403">
        <v>0</v>
      </c>
      <c r="F403" s="5">
        <v>-1934386.0620957599</v>
      </c>
      <c r="G403" s="5"/>
      <c r="K403" s="5"/>
    </row>
    <row r="404" spans="1:11" x14ac:dyDescent="0.25">
      <c r="A404" t="s">
        <v>125</v>
      </c>
      <c r="C404">
        <v>0</v>
      </c>
      <c r="D404">
        <v>1.42511487325987E-4</v>
      </c>
      <c r="E404">
        <v>0</v>
      </c>
      <c r="F404" s="5">
        <v>1.0648184860988899E+38</v>
      </c>
      <c r="G404" s="5"/>
      <c r="K404" s="5"/>
    </row>
    <row r="405" spans="1:11" x14ac:dyDescent="0.25">
      <c r="A405" t="s">
        <v>124</v>
      </c>
      <c r="C405">
        <v>0</v>
      </c>
      <c r="D405" s="1">
        <v>7.23925384536165E-5</v>
      </c>
      <c r="E405">
        <v>0</v>
      </c>
      <c r="F405" s="5">
        <v>4.4834559893783702E+36</v>
      </c>
      <c r="G405" s="5"/>
      <c r="K405" s="5"/>
    </row>
    <row r="406" spans="1:11" x14ac:dyDescent="0.25">
      <c r="A406" t="s">
        <v>123</v>
      </c>
      <c r="C406">
        <v>0</v>
      </c>
      <c r="D406" s="1">
        <v>4.75722395552337E-5</v>
      </c>
      <c r="E406">
        <v>0</v>
      </c>
      <c r="F406" s="5">
        <v>28.385712902848699</v>
      </c>
      <c r="G406" s="5"/>
      <c r="K406" s="5"/>
    </row>
    <row r="407" spans="1:11" x14ac:dyDescent="0.25">
      <c r="A407" t="s">
        <v>122</v>
      </c>
      <c r="C407">
        <v>0</v>
      </c>
      <c r="D407" s="1">
        <v>6.8345769977483706E-5</v>
      </c>
      <c r="E407">
        <v>0</v>
      </c>
      <c r="F407" s="5">
        <v>674.159218059816</v>
      </c>
      <c r="G407" s="5"/>
      <c r="K407" s="5"/>
    </row>
    <row r="408" spans="1:11" x14ac:dyDescent="0.25">
      <c r="A408" t="s">
        <v>121</v>
      </c>
      <c r="C408">
        <v>0</v>
      </c>
      <c r="D408" s="1">
        <v>8.58327542071404E-5</v>
      </c>
      <c r="E408">
        <v>0</v>
      </c>
      <c r="F408" s="5">
        <v>-8.4514580373844002</v>
      </c>
      <c r="G408" s="5"/>
      <c r="K408" s="5"/>
    </row>
    <row r="409" spans="1:11" x14ac:dyDescent="0.25">
      <c r="A409" t="s">
        <v>120</v>
      </c>
      <c r="C409">
        <v>0</v>
      </c>
      <c r="D409" s="1">
        <v>5.0370651777010002E-5</v>
      </c>
      <c r="E409">
        <v>0</v>
      </c>
      <c r="F409" s="5">
        <v>23.749948446500301</v>
      </c>
      <c r="G409" s="5"/>
      <c r="K409" s="5"/>
    </row>
    <row r="410" spans="1:11" x14ac:dyDescent="0.25">
      <c r="A410" t="s">
        <v>119</v>
      </c>
      <c r="C410">
        <v>0</v>
      </c>
      <c r="D410">
        <v>1.47947691258027E-4</v>
      </c>
      <c r="E410">
        <v>0</v>
      </c>
      <c r="F410" s="5">
        <v>6.6225967965421496E-4</v>
      </c>
      <c r="G410" s="5"/>
      <c r="K410" s="5"/>
    </row>
    <row r="411" spans="1:11" x14ac:dyDescent="0.25">
      <c r="A411" t="s">
        <v>118</v>
      </c>
      <c r="C411">
        <v>0</v>
      </c>
      <c r="D411" s="1">
        <v>3.3013562199692599E-5</v>
      </c>
      <c r="E411">
        <v>0</v>
      </c>
      <c r="F411" s="5"/>
      <c r="G411" s="5"/>
      <c r="K411" s="5"/>
    </row>
    <row r="412" spans="1:11" x14ac:dyDescent="0.25">
      <c r="A412" t="s">
        <v>117</v>
      </c>
      <c r="C412">
        <v>0</v>
      </c>
      <c r="D412">
        <v>1.00754514570219E-4</v>
      </c>
      <c r="E412">
        <v>0</v>
      </c>
      <c r="F412" s="5">
        <v>0.37748719799806602</v>
      </c>
      <c r="G412" s="5"/>
      <c r="K412" s="5"/>
    </row>
    <row r="413" spans="1:11" x14ac:dyDescent="0.25">
      <c r="A413" t="s">
        <v>116</v>
      </c>
      <c r="C413">
        <v>0</v>
      </c>
      <c r="D413" s="1">
        <v>1.32064806728171E-8</v>
      </c>
      <c r="E413">
        <v>0</v>
      </c>
      <c r="F413" s="5">
        <v>3.3105905615747301E-14</v>
      </c>
      <c r="G413" s="5">
        <v>2.8431766034866701E-93</v>
      </c>
      <c r="K413" s="5"/>
    </row>
    <row r="414" spans="1:11" x14ac:dyDescent="0.25">
      <c r="A414" t="s">
        <v>115</v>
      </c>
      <c r="C414">
        <v>0</v>
      </c>
      <c r="D414">
        <v>9.4352341901612403E-4</v>
      </c>
      <c r="E414">
        <v>0</v>
      </c>
      <c r="F414" s="5">
        <v>1.13430455901719E-3</v>
      </c>
      <c r="G414" s="5">
        <v>3.9684504741835298E-10</v>
      </c>
      <c r="K414" s="5"/>
    </row>
    <row r="415" spans="1:11" x14ac:dyDescent="0.25">
      <c r="A415" t="s">
        <v>114</v>
      </c>
      <c r="C415">
        <v>0</v>
      </c>
      <c r="D415" s="1">
        <v>8.0796246722242104E-22</v>
      </c>
      <c r="E415">
        <v>0</v>
      </c>
      <c r="F415" s="5">
        <v>1.8177661739485701E-12</v>
      </c>
      <c r="G415" s="5">
        <v>1.5611203379743001E-91</v>
      </c>
      <c r="K415" s="5"/>
    </row>
    <row r="416" spans="1:11" x14ac:dyDescent="0.25">
      <c r="A416" t="s">
        <v>113</v>
      </c>
      <c r="C416">
        <v>0</v>
      </c>
      <c r="D416" s="1">
        <v>1.63268934793549E-21</v>
      </c>
      <c r="E416">
        <v>0</v>
      </c>
      <c r="F416" s="5">
        <v>1.1705998586745001E-4</v>
      </c>
      <c r="G416" s="5">
        <v>6.3041971587055298E-13</v>
      </c>
      <c r="K416" s="5"/>
    </row>
    <row r="417" spans="1:11" x14ac:dyDescent="0.25">
      <c r="A417" t="s">
        <v>112</v>
      </c>
      <c r="C417">
        <v>0</v>
      </c>
      <c r="D417">
        <v>1.9321073575628701E-4</v>
      </c>
      <c r="E417">
        <v>0</v>
      </c>
      <c r="F417" s="5">
        <v>2.6121172235562499E-5</v>
      </c>
      <c r="G417" s="5">
        <v>2.2433189600006202E-84</v>
      </c>
      <c r="K417" s="5"/>
    </row>
    <row r="418" spans="1:11" x14ac:dyDescent="0.25">
      <c r="A418" t="s">
        <v>111</v>
      </c>
      <c r="C418">
        <v>0</v>
      </c>
      <c r="D418" s="1">
        <v>8.3870956033853797E-21</v>
      </c>
      <c r="E418">
        <v>0</v>
      </c>
      <c r="F418" s="5">
        <v>1.0943278500290901E-3</v>
      </c>
      <c r="G418" s="5">
        <v>5.8948859119493701E-12</v>
      </c>
      <c r="K418" s="5"/>
    </row>
    <row r="419" spans="1:11" x14ac:dyDescent="0.25">
      <c r="A419" t="s">
        <v>110</v>
      </c>
      <c r="C419">
        <v>0</v>
      </c>
      <c r="D419" s="1">
        <v>1.59281893068057E-10</v>
      </c>
      <c r="E419">
        <v>0</v>
      </c>
      <c r="F419" s="5">
        <v>5.1344354971755998E-9</v>
      </c>
      <c r="G419" s="5">
        <v>4.2408646391583099E-5</v>
      </c>
      <c r="K419" s="5"/>
    </row>
    <row r="420" spans="1:11" x14ac:dyDescent="0.25">
      <c r="A420" t="s">
        <v>109</v>
      </c>
      <c r="C420">
        <v>0</v>
      </c>
      <c r="D420" s="1">
        <v>3.18767806052005E-18</v>
      </c>
      <c r="E420">
        <v>0</v>
      </c>
      <c r="F420" s="5">
        <v>3.9465486280729098E-4</v>
      </c>
      <c r="G420" s="5">
        <v>0.124547321681294</v>
      </c>
      <c r="K420" s="5"/>
    </row>
    <row r="421" spans="1:11" x14ac:dyDescent="0.25">
      <c r="A421" t="s">
        <v>108</v>
      </c>
      <c r="C421">
        <v>0</v>
      </c>
      <c r="D421">
        <v>0</v>
      </c>
      <c r="E421">
        <v>0</v>
      </c>
      <c r="F421" s="5">
        <v>0</v>
      </c>
      <c r="G421" s="5">
        <v>0</v>
      </c>
      <c r="K421" s="5"/>
    </row>
    <row r="422" spans="1:11" x14ac:dyDescent="0.25">
      <c r="A422" t="s">
        <v>107</v>
      </c>
      <c r="C422">
        <v>0</v>
      </c>
      <c r="D422">
        <v>0</v>
      </c>
      <c r="E422">
        <v>0</v>
      </c>
      <c r="F422" s="5">
        <v>0</v>
      </c>
      <c r="G422" s="5">
        <v>0</v>
      </c>
      <c r="K422" s="5"/>
    </row>
    <row r="423" spans="1:11" x14ac:dyDescent="0.25">
      <c r="A423" t="s">
        <v>106</v>
      </c>
      <c r="C423">
        <v>0</v>
      </c>
      <c r="D423">
        <v>0</v>
      </c>
      <c r="E423">
        <v>0</v>
      </c>
      <c r="F423" s="5">
        <v>6.5338911742507295E-10</v>
      </c>
      <c r="G423" s="5">
        <v>1.12682473137065E-8</v>
      </c>
      <c r="K423" s="5"/>
    </row>
    <row r="424" spans="1:11" x14ac:dyDescent="0.25">
      <c r="A424" t="s">
        <v>105</v>
      </c>
      <c r="C424">
        <v>0</v>
      </c>
      <c r="D424">
        <v>0</v>
      </c>
      <c r="E424">
        <v>0</v>
      </c>
      <c r="F424" s="5">
        <v>0</v>
      </c>
      <c r="G424" s="5">
        <v>0</v>
      </c>
      <c r="K424" s="5"/>
    </row>
    <row r="425" spans="1:11" x14ac:dyDescent="0.25">
      <c r="A425" t="s">
        <v>104</v>
      </c>
      <c r="C425">
        <v>2.2019817836052401E-2</v>
      </c>
      <c r="D425">
        <v>6.7299001157378902E-3</v>
      </c>
      <c r="E425">
        <v>0</v>
      </c>
      <c r="F425" s="5">
        <v>2.6866338028165902E-10</v>
      </c>
      <c r="G425" s="5">
        <v>2.17366541213164E-8</v>
      </c>
      <c r="K425" s="5"/>
    </row>
    <row r="426" spans="1:11" x14ac:dyDescent="0.25">
      <c r="A426" t="s">
        <v>103</v>
      </c>
      <c r="C426">
        <v>1.00090081072966E-2</v>
      </c>
      <c r="D426">
        <v>4.0787273305998798E-3</v>
      </c>
      <c r="E426">
        <v>0</v>
      </c>
      <c r="F426" s="5">
        <v>0</v>
      </c>
      <c r="G426" s="5">
        <v>0</v>
      </c>
      <c r="K426" s="5"/>
    </row>
    <row r="427" spans="1:11" x14ac:dyDescent="0.25">
      <c r="A427" t="s">
        <v>102</v>
      </c>
      <c r="C427">
        <v>0</v>
      </c>
      <c r="D427">
        <v>0</v>
      </c>
      <c r="E427">
        <v>0</v>
      </c>
      <c r="F427" s="5">
        <v>4.5559237352763201E-10</v>
      </c>
      <c r="G427" s="5">
        <v>2.6456766513843502E-15</v>
      </c>
      <c r="K427" s="5"/>
    </row>
    <row r="428" spans="1:11" x14ac:dyDescent="0.25">
      <c r="A428" t="s">
        <v>101</v>
      </c>
      <c r="C428">
        <v>4.00360324291863E-4</v>
      </c>
      <c r="D428" s="1">
        <v>4.0787273428714499E-5</v>
      </c>
      <c r="E428">
        <v>0</v>
      </c>
      <c r="F428" s="5">
        <v>1.0272874860295299E-8</v>
      </c>
      <c r="G428" s="5">
        <v>0</v>
      </c>
      <c r="K428" s="5"/>
    </row>
    <row r="429" spans="1:11" x14ac:dyDescent="0.25">
      <c r="A429" t="s">
        <v>100</v>
      </c>
      <c r="C429">
        <v>4.00360324291863E-4</v>
      </c>
      <c r="D429" s="1">
        <v>4.0787273428714499E-5</v>
      </c>
      <c r="E429">
        <v>0</v>
      </c>
      <c r="F429" s="5">
        <v>4.8617237782534197E-18</v>
      </c>
      <c r="G429" s="5">
        <v>0</v>
      </c>
      <c r="K429" s="5"/>
    </row>
    <row r="430" spans="1:11" x14ac:dyDescent="0.25">
      <c r="A430" t="s">
        <v>99</v>
      </c>
      <c r="C430">
        <v>0</v>
      </c>
      <c r="D430" s="1">
        <v>3.8639995690156602E-6</v>
      </c>
      <c r="E430">
        <v>0</v>
      </c>
      <c r="F430" s="5">
        <v>1.86256181176928E-3</v>
      </c>
      <c r="G430" s="5">
        <v>0</v>
      </c>
      <c r="K430" s="5"/>
    </row>
    <row r="431" spans="1:11" x14ac:dyDescent="0.25">
      <c r="A431" t="s">
        <v>98</v>
      </c>
      <c r="C431">
        <v>0</v>
      </c>
      <c r="D431">
        <v>0</v>
      </c>
      <c r="E431">
        <v>0</v>
      </c>
      <c r="F431" s="5">
        <v>5.3248685797681501E-3</v>
      </c>
      <c r="G431" s="5">
        <v>4.5730637724759297E-82</v>
      </c>
      <c r="K431" s="5"/>
    </row>
    <row r="432" spans="1:11" x14ac:dyDescent="0.25">
      <c r="A432" t="s">
        <v>97</v>
      </c>
      <c r="C432">
        <v>4.00360324291863E-4</v>
      </c>
      <c r="D432" s="1">
        <v>4.0787273428714201E-5</v>
      </c>
      <c r="E432">
        <v>0</v>
      </c>
      <c r="F432" s="5">
        <v>3.2271930591578498E-3</v>
      </c>
      <c r="G432" s="5">
        <v>4.9699903035329097E-10</v>
      </c>
      <c r="K432" s="5"/>
    </row>
    <row r="433" spans="1:11" x14ac:dyDescent="0.25">
      <c r="A433" t="s">
        <v>96</v>
      </c>
      <c r="C433">
        <v>0</v>
      </c>
      <c r="D433">
        <v>1.1587250786027499E-3</v>
      </c>
      <c r="E433">
        <v>0</v>
      </c>
      <c r="F433" s="5">
        <v>0</v>
      </c>
      <c r="G433" s="5">
        <v>0</v>
      </c>
      <c r="K433" s="5"/>
    </row>
    <row r="434" spans="1:11" x14ac:dyDescent="0.25">
      <c r="A434" t="s">
        <v>95</v>
      </c>
      <c r="C434">
        <v>0</v>
      </c>
      <c r="D434">
        <v>0</v>
      </c>
      <c r="E434">
        <v>0</v>
      </c>
      <c r="F434" s="5">
        <v>3.2271930786473602E-5</v>
      </c>
      <c r="G434" s="5">
        <v>1.54817959606947E-21</v>
      </c>
      <c r="K434" s="5"/>
    </row>
    <row r="435" spans="1:11" x14ac:dyDescent="0.25">
      <c r="A435" t="s">
        <v>94</v>
      </c>
      <c r="C435">
        <v>0</v>
      </c>
      <c r="D435" s="1">
        <v>1.41701943183564E-6</v>
      </c>
      <c r="E435">
        <v>0</v>
      </c>
      <c r="F435" s="5">
        <v>3.2271930786473602E-5</v>
      </c>
      <c r="G435" s="5">
        <v>1.4377543932293001E-20</v>
      </c>
      <c r="K435" s="5"/>
    </row>
    <row r="436" spans="1:11" x14ac:dyDescent="0.25">
      <c r="A436" t="s">
        <v>93</v>
      </c>
      <c r="C436">
        <v>0</v>
      </c>
      <c r="D436">
        <v>0</v>
      </c>
      <c r="E436">
        <v>0</v>
      </c>
      <c r="F436" s="5">
        <v>3.0572950670682301E-6</v>
      </c>
      <c r="G436" s="5">
        <v>1.7715387487623199E-12</v>
      </c>
      <c r="K436" s="5"/>
    </row>
    <row r="437" spans="1:11" x14ac:dyDescent="0.25">
      <c r="A437" t="s">
        <v>92</v>
      </c>
      <c r="C437">
        <v>0</v>
      </c>
      <c r="D437">
        <v>4.9724756659015297E-3</v>
      </c>
      <c r="E437">
        <v>0</v>
      </c>
      <c r="F437" s="5">
        <v>0</v>
      </c>
      <c r="G437" s="5">
        <v>0</v>
      </c>
      <c r="K437" s="5"/>
    </row>
    <row r="438" spans="1:11" x14ac:dyDescent="0.25">
      <c r="A438" t="s">
        <v>91</v>
      </c>
      <c r="C438">
        <v>3.0027024321889698E-3</v>
      </c>
      <c r="D438">
        <v>2.7212983661860802E-4</v>
      </c>
      <c r="E438">
        <v>0</v>
      </c>
      <c r="F438" s="5">
        <v>3.2271930786473101E-5</v>
      </c>
      <c r="G438" s="5">
        <v>1.40143853162099E-17</v>
      </c>
      <c r="K438" s="5"/>
    </row>
    <row r="439" spans="1:11" x14ac:dyDescent="0.25">
      <c r="A439" t="s">
        <v>90</v>
      </c>
      <c r="C439">
        <v>1.8016214593133801E-3</v>
      </c>
      <c r="D439" s="1">
        <v>2.72429430848778E-7</v>
      </c>
      <c r="E439">
        <v>0</v>
      </c>
      <c r="F439" s="5">
        <v>9.1681282883029002E-4</v>
      </c>
      <c r="G439" s="5">
        <v>5.9116895682014397E-12</v>
      </c>
      <c r="K439" s="5"/>
    </row>
    <row r="440" spans="1:11" x14ac:dyDescent="0.25">
      <c r="A440" t="s">
        <v>89</v>
      </c>
      <c r="C440">
        <v>0</v>
      </c>
      <c r="D440">
        <v>0</v>
      </c>
      <c r="E440">
        <v>0</v>
      </c>
      <c r="F440" s="5">
        <v>0</v>
      </c>
      <c r="G440" s="5">
        <v>0</v>
      </c>
      <c r="K440" s="5"/>
    </row>
    <row r="441" spans="1:11" x14ac:dyDescent="0.25">
      <c r="A441" t="s">
        <v>88</v>
      </c>
      <c r="C441">
        <v>1.1009908918026201E-2</v>
      </c>
      <c r="D441">
        <v>1.1216500192896099E-2</v>
      </c>
      <c r="E441">
        <v>0</v>
      </c>
      <c r="F441" s="5">
        <v>1.1211819689253199E-6</v>
      </c>
      <c r="G441" s="5">
        <v>4.4439149782128703E-14</v>
      </c>
      <c r="K441" s="5"/>
    </row>
    <row r="442" spans="1:11" x14ac:dyDescent="0.25">
      <c r="A442" t="s">
        <v>87</v>
      </c>
      <c r="C442">
        <v>0</v>
      </c>
      <c r="D442">
        <v>0</v>
      </c>
      <c r="E442">
        <v>0</v>
      </c>
      <c r="F442" s="5">
        <v>0</v>
      </c>
      <c r="G442" s="5">
        <v>0</v>
      </c>
      <c r="K442" s="5"/>
    </row>
    <row r="443" spans="1:11" x14ac:dyDescent="0.25">
      <c r="A443" t="s">
        <v>86</v>
      </c>
      <c r="C443">
        <v>0</v>
      </c>
      <c r="D443">
        <v>0</v>
      </c>
      <c r="E443">
        <v>0</v>
      </c>
      <c r="F443" s="5">
        <v>3.8872865551012E-3</v>
      </c>
      <c r="G443" s="5">
        <v>3.75416636483793E-3</v>
      </c>
      <c r="K443" s="5"/>
    </row>
    <row r="444" spans="1:11" x14ac:dyDescent="0.25">
      <c r="A444" t="s">
        <v>85</v>
      </c>
      <c r="C444">
        <v>0</v>
      </c>
      <c r="D444">
        <v>0</v>
      </c>
      <c r="E444">
        <v>0</v>
      </c>
      <c r="F444" s="5">
        <v>2.2406846786186699E-4</v>
      </c>
      <c r="G444" s="5">
        <v>4.5827603392118203E-4</v>
      </c>
      <c r="K444" s="5"/>
    </row>
    <row r="445" spans="1:11" x14ac:dyDescent="0.25">
      <c r="A445" t="s">
        <v>84</v>
      </c>
      <c r="C445">
        <v>0</v>
      </c>
      <c r="D445">
        <v>0</v>
      </c>
      <c r="E445">
        <v>0</v>
      </c>
      <c r="F445" s="5">
        <v>6.72901608047943E-5</v>
      </c>
      <c r="G445" s="5">
        <v>1.6800678483940401E-2</v>
      </c>
      <c r="K445" s="5"/>
    </row>
    <row r="446" spans="1:11" x14ac:dyDescent="0.25">
      <c r="A446" t="s">
        <v>83</v>
      </c>
      <c r="C446">
        <v>0</v>
      </c>
      <c r="D446">
        <v>0</v>
      </c>
      <c r="E446">
        <v>0</v>
      </c>
      <c r="F446" s="5">
        <v>1.35384557288748E-4</v>
      </c>
      <c r="G446" s="5">
        <v>0</v>
      </c>
      <c r="K446" s="5"/>
    </row>
    <row r="447" spans="1:11" x14ac:dyDescent="0.25">
      <c r="A447" t="s">
        <v>82</v>
      </c>
      <c r="C447">
        <v>0</v>
      </c>
      <c r="D447">
        <v>0</v>
      </c>
      <c r="E447">
        <v>0</v>
      </c>
      <c r="F447" s="5">
        <v>8.8747809662802404E-3</v>
      </c>
      <c r="G447" s="5">
        <v>3.4531924758977399E-16</v>
      </c>
      <c r="K447" s="5"/>
    </row>
    <row r="448" spans="1:11" x14ac:dyDescent="0.25">
      <c r="A448" t="s">
        <v>81</v>
      </c>
      <c r="C448">
        <v>0</v>
      </c>
      <c r="D448">
        <v>0</v>
      </c>
      <c r="E448">
        <v>0</v>
      </c>
      <c r="F448" s="5">
        <v>2.3591532872843002E-3</v>
      </c>
      <c r="G448" s="5">
        <v>3.9903082555193598E-5</v>
      </c>
      <c r="K448" s="5"/>
    </row>
    <row r="449" spans="1:11" x14ac:dyDescent="0.25">
      <c r="A449" t="s">
        <v>80</v>
      </c>
      <c r="C449">
        <v>0</v>
      </c>
      <c r="D449">
        <v>0</v>
      </c>
      <c r="E449">
        <v>0</v>
      </c>
      <c r="F449" s="5">
        <v>2.5532025808686499E-5</v>
      </c>
      <c r="G449" s="5">
        <v>8.1227627176862003E-8</v>
      </c>
      <c r="K449" s="5"/>
    </row>
    <row r="450" spans="1:11" x14ac:dyDescent="0.25">
      <c r="A450" t="s">
        <v>79</v>
      </c>
      <c r="C450">
        <v>0</v>
      </c>
      <c r="D450">
        <v>0</v>
      </c>
      <c r="E450">
        <v>0</v>
      </c>
      <c r="F450" s="5">
        <v>1.27168275238469E-3</v>
      </c>
      <c r="G450" s="5">
        <v>1.0718691852724101E-5</v>
      </c>
      <c r="K450" s="5"/>
    </row>
    <row r="451" spans="1:11" x14ac:dyDescent="0.25">
      <c r="A451" t="s">
        <v>78</v>
      </c>
      <c r="C451">
        <v>0</v>
      </c>
      <c r="D451">
        <v>0</v>
      </c>
      <c r="E451">
        <v>0</v>
      </c>
      <c r="F451" s="5">
        <v>2.32705877611384E-4</v>
      </c>
      <c r="G451" s="5">
        <v>7.2806584912066195E-12</v>
      </c>
      <c r="K451" s="5"/>
    </row>
    <row r="452" spans="1:11" x14ac:dyDescent="0.25">
      <c r="A452" t="s">
        <v>77</v>
      </c>
      <c r="C452">
        <v>0</v>
      </c>
      <c r="D452">
        <v>0</v>
      </c>
      <c r="E452">
        <v>0</v>
      </c>
      <c r="F452" s="5">
        <v>6.0455868576007203E-6</v>
      </c>
      <c r="G452" s="5">
        <v>0</v>
      </c>
      <c r="K452" s="5"/>
    </row>
    <row r="453" spans="1:11" x14ac:dyDescent="0.25">
      <c r="A453" t="s">
        <v>76</v>
      </c>
      <c r="C453">
        <v>0</v>
      </c>
      <c r="D453">
        <v>0</v>
      </c>
      <c r="E453">
        <v>0</v>
      </c>
      <c r="F453" s="5">
        <v>0</v>
      </c>
      <c r="G453" s="5">
        <v>0</v>
      </c>
      <c r="K453" s="5"/>
    </row>
    <row r="454" spans="1:11" x14ac:dyDescent="0.25">
      <c r="A454" t="s">
        <v>75</v>
      </c>
      <c r="C454">
        <v>0</v>
      </c>
      <c r="D454">
        <v>0</v>
      </c>
      <c r="E454">
        <v>0</v>
      </c>
      <c r="F454" s="5">
        <v>1.9242714330997299E-8</v>
      </c>
      <c r="G454" s="5">
        <v>6.7333552838133996E-15</v>
      </c>
      <c r="K454" s="5"/>
    </row>
    <row r="455" spans="1:11" x14ac:dyDescent="0.25">
      <c r="A455" t="s">
        <v>74</v>
      </c>
      <c r="C455">
        <v>0</v>
      </c>
      <c r="D455">
        <v>0</v>
      </c>
      <c r="E455">
        <v>0</v>
      </c>
      <c r="F455" s="5">
        <v>2.09143327860671E-8</v>
      </c>
      <c r="G455" s="5">
        <v>1.7961490721642101E-87</v>
      </c>
      <c r="K455" s="5"/>
    </row>
    <row r="456" spans="1:11" x14ac:dyDescent="0.25">
      <c r="A456" t="s">
        <v>73</v>
      </c>
      <c r="C456">
        <v>0</v>
      </c>
      <c r="D456">
        <v>0</v>
      </c>
      <c r="E456">
        <v>0</v>
      </c>
      <c r="F456" s="5">
        <v>1.8621515954006701E-8</v>
      </c>
      <c r="G456" s="5">
        <v>1.0030971253587E-16</v>
      </c>
      <c r="K456" s="5"/>
    </row>
    <row r="457" spans="1:11" x14ac:dyDescent="0.25">
      <c r="A457" t="s">
        <v>72</v>
      </c>
      <c r="C457">
        <v>0</v>
      </c>
      <c r="D457">
        <v>0</v>
      </c>
      <c r="E457">
        <v>0</v>
      </c>
      <c r="F457" s="5">
        <v>2.21037291701634E-12</v>
      </c>
      <c r="G457" s="5">
        <v>4.09275369137325E-22</v>
      </c>
      <c r="K457" s="5"/>
    </row>
    <row r="458" spans="1:11" x14ac:dyDescent="0.25">
      <c r="A458" t="s">
        <v>71</v>
      </c>
      <c r="C458">
        <v>0</v>
      </c>
      <c r="D458">
        <v>0</v>
      </c>
      <c r="E458">
        <v>0</v>
      </c>
      <c r="F458" s="5">
        <v>1.0858597927698599E-19</v>
      </c>
      <c r="G458" s="5">
        <v>8.1725051622040199E-24</v>
      </c>
      <c r="K458" s="5"/>
    </row>
    <row r="459" spans="1:11" x14ac:dyDescent="0.25">
      <c r="A459" t="s">
        <v>70</v>
      </c>
      <c r="C459">
        <v>0</v>
      </c>
      <c r="D459">
        <v>0</v>
      </c>
      <c r="E459">
        <v>0</v>
      </c>
      <c r="F459" s="5">
        <v>2.0563427570920199E-14</v>
      </c>
      <c r="G459" s="5">
        <v>6.8448559107881798E-15</v>
      </c>
      <c r="K459" s="5"/>
    </row>
    <row r="460" spans="1:11" x14ac:dyDescent="0.25">
      <c r="A460" t="s">
        <v>69</v>
      </c>
      <c r="C460">
        <v>0</v>
      </c>
      <c r="D460">
        <v>0</v>
      </c>
      <c r="E460">
        <v>0</v>
      </c>
      <c r="F460" s="5">
        <v>1.6531809277000901E-16</v>
      </c>
      <c r="G460" s="5">
        <v>3.11616194459981E-21</v>
      </c>
      <c r="K460" s="5"/>
    </row>
    <row r="461" spans="1:11" x14ac:dyDescent="0.25">
      <c r="A461" t="s">
        <v>68</v>
      </c>
      <c r="C461">
        <v>0</v>
      </c>
      <c r="D461">
        <v>0</v>
      </c>
      <c r="E461">
        <v>0</v>
      </c>
      <c r="F461" s="5">
        <v>8.0110039769897607E-12</v>
      </c>
      <c r="G461" s="5">
        <v>4.6201683299383601E-18</v>
      </c>
      <c r="K461" s="5"/>
    </row>
    <row r="462" spans="1:11" x14ac:dyDescent="0.25">
      <c r="A462" t="s">
        <v>67</v>
      </c>
      <c r="C462">
        <v>0</v>
      </c>
      <c r="D462">
        <v>0</v>
      </c>
      <c r="E462">
        <v>0</v>
      </c>
      <c r="F462" s="5">
        <v>6.4819126130371101E-20</v>
      </c>
      <c r="G462" s="5">
        <v>1.2581867196825E-93</v>
      </c>
      <c r="K462" s="5"/>
    </row>
    <row r="463" spans="1:11" x14ac:dyDescent="0.25">
      <c r="A463" t="s">
        <v>66</v>
      </c>
      <c r="C463">
        <v>0</v>
      </c>
      <c r="D463">
        <v>0</v>
      </c>
      <c r="E463">
        <v>0</v>
      </c>
      <c r="F463" s="5">
        <v>2.63962551697768E-20</v>
      </c>
      <c r="G463" s="5">
        <v>1.0027096660297901E-93</v>
      </c>
      <c r="K463" s="5"/>
    </row>
    <row r="464" spans="1:11" x14ac:dyDescent="0.25">
      <c r="A464" t="s">
        <v>65</v>
      </c>
      <c r="C464">
        <v>0</v>
      </c>
      <c r="D464">
        <v>0</v>
      </c>
      <c r="E464">
        <v>0</v>
      </c>
      <c r="F464" s="5">
        <v>1.8325529137694001E-17</v>
      </c>
      <c r="G464" s="5">
        <v>1.1214220412450801E-93</v>
      </c>
      <c r="K464" s="5"/>
    </row>
    <row r="465" spans="1:11" x14ac:dyDescent="0.25">
      <c r="A465" t="s">
        <v>64</v>
      </c>
      <c r="C465">
        <v>0</v>
      </c>
      <c r="D465">
        <v>0</v>
      </c>
      <c r="E465">
        <v>0</v>
      </c>
      <c r="F465" s="5">
        <v>4.0125650111857599E-12</v>
      </c>
      <c r="G465" s="5">
        <v>3.4460410454218202E-91</v>
      </c>
      <c r="K465" s="5"/>
    </row>
    <row r="466" spans="1:11" x14ac:dyDescent="0.25">
      <c r="A466" t="s">
        <v>63</v>
      </c>
      <c r="C466">
        <v>0</v>
      </c>
      <c r="D466">
        <v>0</v>
      </c>
      <c r="E466">
        <v>0</v>
      </c>
      <c r="F466" s="5">
        <v>5.98908540879225E-8</v>
      </c>
      <c r="G466" s="5">
        <v>1.30043343829915E-14</v>
      </c>
      <c r="K466" s="5"/>
    </row>
    <row r="467" spans="1:11" x14ac:dyDescent="0.25">
      <c r="A467" t="s">
        <v>62</v>
      </c>
      <c r="C467">
        <v>0</v>
      </c>
      <c r="D467">
        <v>0</v>
      </c>
      <c r="E467">
        <v>0</v>
      </c>
      <c r="F467" s="5">
        <v>1.7746731968395102E-5</v>
      </c>
      <c r="G467" s="5">
        <v>3.2860067282901701E-15</v>
      </c>
      <c r="K467" s="5"/>
    </row>
    <row r="468" spans="1:11" x14ac:dyDescent="0.25">
      <c r="A468" t="s">
        <v>61</v>
      </c>
      <c r="C468">
        <v>0</v>
      </c>
      <c r="D468">
        <v>0</v>
      </c>
      <c r="E468">
        <v>0</v>
      </c>
      <c r="F468" s="5">
        <v>2.4431136541567698E-13</v>
      </c>
      <c r="G468" s="5">
        <v>4.5236993040937499E-23</v>
      </c>
      <c r="K468" s="5"/>
    </row>
    <row r="469" spans="1:11" x14ac:dyDescent="0.25">
      <c r="A469" t="s">
        <v>60</v>
      </c>
      <c r="C469">
        <v>0</v>
      </c>
      <c r="D469">
        <v>0</v>
      </c>
      <c r="E469">
        <v>0</v>
      </c>
      <c r="F469" s="5">
        <v>2.0188199959213E-14</v>
      </c>
      <c r="G469" s="5">
        <v>8.2130394094334207E-24</v>
      </c>
      <c r="K469" s="5"/>
    </row>
    <row r="470" spans="1:11" x14ac:dyDescent="0.25">
      <c r="A470" t="s">
        <v>59</v>
      </c>
      <c r="C470">
        <v>0</v>
      </c>
      <c r="D470">
        <v>0</v>
      </c>
      <c r="E470">
        <v>0</v>
      </c>
      <c r="F470" s="5">
        <v>2.8452233269134098E-6</v>
      </c>
      <c r="G470" s="5">
        <v>9.4707672831140803E-7</v>
      </c>
      <c r="K470" s="5"/>
    </row>
    <row r="471" spans="1:11" x14ac:dyDescent="0.25">
      <c r="A471" t="s">
        <v>58</v>
      </c>
      <c r="C471">
        <v>0</v>
      </c>
      <c r="D471">
        <v>0</v>
      </c>
      <c r="E471">
        <v>0</v>
      </c>
      <c r="F471" s="5">
        <v>2.1701071511974999E-16</v>
      </c>
      <c r="G471" s="5">
        <v>1.3443508895770101E-16</v>
      </c>
      <c r="K471" s="5"/>
    </row>
    <row r="472" spans="1:11" x14ac:dyDescent="0.25">
      <c r="A472" t="s">
        <v>57</v>
      </c>
      <c r="C472">
        <v>0</v>
      </c>
      <c r="D472">
        <v>0</v>
      </c>
      <c r="E472">
        <v>0</v>
      </c>
      <c r="F472" s="5">
        <v>1.57817217817897E-4</v>
      </c>
      <c r="G472" s="5">
        <v>9.10175695550229E-11</v>
      </c>
      <c r="K472" s="5"/>
    </row>
    <row r="473" spans="1:11" x14ac:dyDescent="0.25">
      <c r="A473" t="s">
        <v>56</v>
      </c>
      <c r="C473">
        <v>0</v>
      </c>
      <c r="D473">
        <v>0</v>
      </c>
      <c r="E473">
        <v>0</v>
      </c>
      <c r="F473" s="5">
        <v>1.47499431332135E-14</v>
      </c>
      <c r="G473" s="5">
        <v>1.2667435745712899E-93</v>
      </c>
      <c r="K473" s="5"/>
    </row>
    <row r="474" spans="1:11" x14ac:dyDescent="0.25">
      <c r="A474" t="s">
        <v>55</v>
      </c>
      <c r="C474">
        <v>0</v>
      </c>
      <c r="D474">
        <v>0</v>
      </c>
      <c r="E474">
        <v>0</v>
      </c>
      <c r="F474" s="5">
        <v>1.1775172162305801E-14</v>
      </c>
      <c r="G474" s="5">
        <v>1.01126652091858E-93</v>
      </c>
      <c r="K474" s="5"/>
    </row>
    <row r="475" spans="1:11" x14ac:dyDescent="0.25">
      <c r="A475" t="s">
        <v>54</v>
      </c>
      <c r="C475">
        <v>0</v>
      </c>
      <c r="D475">
        <v>0</v>
      </c>
      <c r="E475">
        <v>0</v>
      </c>
      <c r="F475" s="5">
        <v>0</v>
      </c>
      <c r="G475" s="5">
        <v>0</v>
      </c>
      <c r="K475" s="5"/>
    </row>
    <row r="476" spans="1:11" x14ac:dyDescent="0.25">
      <c r="A476" t="s">
        <v>53</v>
      </c>
      <c r="C476">
        <v>0</v>
      </c>
      <c r="D476">
        <v>0</v>
      </c>
      <c r="E476">
        <v>0</v>
      </c>
      <c r="F476" s="5">
        <v>6.2355648886693895E-4</v>
      </c>
      <c r="G476" s="5">
        <v>5.3551811591448599E-83</v>
      </c>
      <c r="K476" s="5"/>
    </row>
    <row r="477" spans="1:11" x14ac:dyDescent="0.25">
      <c r="A477" t="s">
        <v>52</v>
      </c>
      <c r="C477">
        <v>0</v>
      </c>
      <c r="D477">
        <v>0</v>
      </c>
      <c r="E477">
        <v>0</v>
      </c>
      <c r="F477" s="5">
        <v>0</v>
      </c>
      <c r="G477" s="5">
        <v>0</v>
      </c>
      <c r="K477" s="5"/>
    </row>
    <row r="478" spans="1:11" x14ac:dyDescent="0.25">
      <c r="A478" t="s">
        <v>51</v>
      </c>
      <c r="C478">
        <v>0</v>
      </c>
      <c r="D478">
        <v>0</v>
      </c>
      <c r="E478">
        <v>0</v>
      </c>
      <c r="F478" s="5">
        <v>0</v>
      </c>
      <c r="G478" s="5">
        <v>0</v>
      </c>
      <c r="K478" s="5"/>
    </row>
    <row r="479" spans="1:11" x14ac:dyDescent="0.25">
      <c r="A479" t="s">
        <v>50</v>
      </c>
      <c r="C479">
        <v>0</v>
      </c>
      <c r="D479">
        <v>0</v>
      </c>
      <c r="E479">
        <v>0</v>
      </c>
      <c r="F479" s="5">
        <v>0</v>
      </c>
      <c r="G479" s="5">
        <v>0</v>
      </c>
      <c r="K479" s="5"/>
    </row>
    <row r="480" spans="1:11" x14ac:dyDescent="0.25">
      <c r="A480" t="s">
        <v>49</v>
      </c>
      <c r="C480">
        <v>0</v>
      </c>
      <c r="D480">
        <v>0</v>
      </c>
      <c r="E480">
        <v>0</v>
      </c>
      <c r="F480" s="5">
        <v>5.0514048208691598E-3</v>
      </c>
      <c r="G480" s="5">
        <v>6.0462048233456506E-17</v>
      </c>
      <c r="K480" s="5"/>
    </row>
    <row r="481" spans="1:11" x14ac:dyDescent="0.25">
      <c r="A481" t="s">
        <v>48</v>
      </c>
      <c r="C481">
        <v>0</v>
      </c>
      <c r="D481" s="1">
        <v>2.19287027270636E-5</v>
      </c>
      <c r="E481">
        <v>0.45262710768783898</v>
      </c>
      <c r="F481" s="5">
        <v>2.5315961139437199E-2</v>
      </c>
      <c r="G481" s="5">
        <v>0</v>
      </c>
      <c r="K481" s="5"/>
    </row>
    <row r="482" spans="1:11" x14ac:dyDescent="0.25">
      <c r="A482" t="s">
        <v>47</v>
      </c>
      <c r="C482">
        <v>0</v>
      </c>
      <c r="D482">
        <v>0</v>
      </c>
      <c r="E482">
        <v>0</v>
      </c>
      <c r="F482" s="5">
        <v>5.6263175447404801E-9</v>
      </c>
      <c r="G482" s="5">
        <v>0</v>
      </c>
      <c r="K482" s="5"/>
    </row>
    <row r="483" spans="1:11" x14ac:dyDescent="0.25">
      <c r="A483" t="s">
        <v>46</v>
      </c>
      <c r="C483">
        <v>0</v>
      </c>
      <c r="D483">
        <v>0</v>
      </c>
      <c r="E483">
        <v>0</v>
      </c>
      <c r="F483" s="5">
        <v>1.4591518361862499E-20</v>
      </c>
      <c r="G483" s="5">
        <v>0</v>
      </c>
      <c r="K483" s="5"/>
    </row>
    <row r="484" spans="1:11" x14ac:dyDescent="0.25">
      <c r="A484" t="s">
        <v>45</v>
      </c>
      <c r="C484">
        <v>0</v>
      </c>
      <c r="D484">
        <v>0</v>
      </c>
      <c r="E484">
        <v>0</v>
      </c>
      <c r="F484" s="5">
        <v>0</v>
      </c>
      <c r="G484" s="5">
        <v>0</v>
      </c>
      <c r="K484" s="5"/>
    </row>
    <row r="485" spans="1:11" x14ac:dyDescent="0.25">
      <c r="A485" t="s">
        <v>44</v>
      </c>
      <c r="C485">
        <v>0</v>
      </c>
      <c r="D485">
        <v>0</v>
      </c>
      <c r="E485">
        <v>0</v>
      </c>
      <c r="F485" s="5">
        <v>0</v>
      </c>
      <c r="G485" s="5">
        <v>0</v>
      </c>
      <c r="K485" s="5"/>
    </row>
    <row r="486" spans="1:11" x14ac:dyDescent="0.25">
      <c r="A486" t="s">
        <v>43</v>
      </c>
      <c r="C486">
        <v>0</v>
      </c>
      <c r="D486" s="1">
        <v>4.6987906498275902E-6</v>
      </c>
      <c r="E486">
        <v>9.6987042413471294E-2</v>
      </c>
      <c r="F486" s="5">
        <v>1.14252500956419E-2</v>
      </c>
      <c r="G486" s="5">
        <v>0</v>
      </c>
      <c r="K486" s="5"/>
    </row>
    <row r="487" spans="1:11" x14ac:dyDescent="0.25">
      <c r="A487" t="s">
        <v>42</v>
      </c>
      <c r="C487">
        <v>0</v>
      </c>
      <c r="D487">
        <v>0</v>
      </c>
      <c r="E487">
        <v>0</v>
      </c>
      <c r="F487" s="5">
        <v>1.82905597446954E-17</v>
      </c>
      <c r="G487" s="5">
        <v>1.1552912060665199E-93</v>
      </c>
      <c r="K487" s="5"/>
    </row>
    <row r="488" spans="1:11" x14ac:dyDescent="0.25">
      <c r="A488" t="s">
        <v>41</v>
      </c>
      <c r="C488">
        <v>0</v>
      </c>
      <c r="D488">
        <v>0</v>
      </c>
      <c r="E488">
        <v>0</v>
      </c>
      <c r="F488" s="5">
        <v>0</v>
      </c>
      <c r="G488" s="5">
        <v>0</v>
      </c>
      <c r="K488" s="5"/>
    </row>
    <row r="489" spans="1:11" x14ac:dyDescent="0.25">
      <c r="A489" t="s">
        <v>40</v>
      </c>
      <c r="C489">
        <v>0</v>
      </c>
      <c r="D489">
        <v>0</v>
      </c>
      <c r="E489">
        <v>0</v>
      </c>
      <c r="F489" s="5">
        <v>0</v>
      </c>
      <c r="G489" s="5">
        <v>0</v>
      </c>
      <c r="K489" s="5"/>
    </row>
    <row r="490" spans="1:11" x14ac:dyDescent="0.25">
      <c r="A490" t="s">
        <v>39</v>
      </c>
      <c r="C490">
        <v>0</v>
      </c>
      <c r="D490" s="1">
        <v>7.2401155452464496E-6</v>
      </c>
      <c r="E490">
        <v>0.149442153480708</v>
      </c>
      <c r="F490" s="5">
        <v>0</v>
      </c>
      <c r="G490" s="5">
        <v>0</v>
      </c>
      <c r="K490" s="5"/>
    </row>
    <row r="491" spans="1:11" x14ac:dyDescent="0.25">
      <c r="A491" t="s">
        <v>38</v>
      </c>
      <c r="C491">
        <v>0</v>
      </c>
      <c r="D491">
        <v>0</v>
      </c>
      <c r="E491">
        <v>0</v>
      </c>
      <c r="F491" s="5">
        <v>0</v>
      </c>
      <c r="G491" s="5">
        <v>0</v>
      </c>
      <c r="K491" s="5"/>
    </row>
    <row r="492" spans="1:11" x14ac:dyDescent="0.25">
      <c r="A492" t="s">
        <v>37</v>
      </c>
      <c r="C492">
        <v>0</v>
      </c>
      <c r="D492" s="1">
        <v>8.6103893562556808E-6</v>
      </c>
      <c r="E492">
        <v>0.177725772422381</v>
      </c>
      <c r="F492" s="5">
        <v>0</v>
      </c>
      <c r="G492" s="5">
        <v>0</v>
      </c>
      <c r="K492" s="5"/>
    </row>
    <row r="493" spans="1:11" x14ac:dyDescent="0.25">
      <c r="A493" t="s">
        <v>36</v>
      </c>
      <c r="C493">
        <v>0</v>
      </c>
      <c r="D493">
        <v>0</v>
      </c>
      <c r="E493">
        <v>0</v>
      </c>
      <c r="F493" s="5">
        <v>5.83517313649729E-3</v>
      </c>
      <c r="G493" s="5">
        <v>0</v>
      </c>
      <c r="K493" s="5"/>
    </row>
    <row r="494" spans="1:11" x14ac:dyDescent="0.25">
      <c r="A494" t="s">
        <v>35</v>
      </c>
      <c r="C494">
        <v>0</v>
      </c>
      <c r="D494">
        <v>0</v>
      </c>
      <c r="E494">
        <v>0</v>
      </c>
      <c r="F494" s="5">
        <v>0</v>
      </c>
      <c r="G494" s="5">
        <v>0</v>
      </c>
      <c r="K494" s="5"/>
    </row>
    <row r="495" spans="1:11" x14ac:dyDescent="0.25">
      <c r="A495" t="s">
        <v>34</v>
      </c>
      <c r="C495">
        <v>0</v>
      </c>
      <c r="D495" s="1">
        <v>5.9696142366464902E-6</v>
      </c>
      <c r="E495">
        <v>0.123217923995601</v>
      </c>
      <c r="F495" s="5">
        <v>0</v>
      </c>
      <c r="G495" s="5">
        <v>0</v>
      </c>
      <c r="K495" s="5"/>
    </row>
    <row r="496" spans="1:11" x14ac:dyDescent="0.25">
      <c r="A496" t="s">
        <v>33</v>
      </c>
      <c r="C496">
        <v>0</v>
      </c>
      <c r="D496">
        <v>0</v>
      </c>
      <c r="E496">
        <v>0</v>
      </c>
      <c r="F496" s="5">
        <v>0</v>
      </c>
      <c r="G496" s="5">
        <v>0</v>
      </c>
      <c r="K496" s="5"/>
    </row>
    <row r="497" spans="1:11" x14ac:dyDescent="0.25">
      <c r="A497" t="s">
        <v>32</v>
      </c>
      <c r="C497">
        <v>0</v>
      </c>
      <c r="D497">
        <v>0</v>
      </c>
      <c r="E497">
        <v>0</v>
      </c>
      <c r="F497" s="5">
        <v>1.8088640305756298E-2</v>
      </c>
      <c r="G497" s="5">
        <v>0</v>
      </c>
      <c r="K497" s="5"/>
    </row>
    <row r="498" spans="1:11" x14ac:dyDescent="0.25">
      <c r="A498" t="s">
        <v>31</v>
      </c>
      <c r="C498">
        <v>1.3875E-2</v>
      </c>
      <c r="D498">
        <v>1.0223101146325599E-2</v>
      </c>
      <c r="E498" s="1">
        <v>8.3333333333333502E-7</v>
      </c>
      <c r="F498" s="5">
        <v>6.7964887030693502E-6</v>
      </c>
      <c r="G498" s="5">
        <v>5.8369095504328201E-85</v>
      </c>
      <c r="K498" s="5"/>
    </row>
    <row r="499" spans="1:11" x14ac:dyDescent="0.25">
      <c r="A499" t="s">
        <v>30</v>
      </c>
      <c r="F499" s="5">
        <v>0</v>
      </c>
      <c r="G499" s="5">
        <v>0</v>
      </c>
      <c r="K499" s="5"/>
    </row>
    <row r="500" spans="1:11" x14ac:dyDescent="0.25">
      <c r="A500" t="s">
        <v>29</v>
      </c>
      <c r="C500">
        <v>-231038973.04159001</v>
      </c>
      <c r="F500" s="5">
        <v>0</v>
      </c>
      <c r="G500" s="5">
        <v>0</v>
      </c>
      <c r="K500" s="5"/>
    </row>
    <row r="501" spans="1:11" x14ac:dyDescent="0.25">
      <c r="A501" t="s">
        <v>28</v>
      </c>
      <c r="C501">
        <v>-2032240.6045343401</v>
      </c>
      <c r="F501" s="5">
        <v>0</v>
      </c>
      <c r="G501" s="5">
        <v>0</v>
      </c>
      <c r="K501" s="5"/>
    </row>
    <row r="502" spans="1:11" x14ac:dyDescent="0.25">
      <c r="A502" t="s">
        <v>27</v>
      </c>
      <c r="C502">
        <v>-764281.40010393295</v>
      </c>
      <c r="F502" s="5">
        <v>1.13870257085053E-2</v>
      </c>
      <c r="G502" s="5">
        <v>0</v>
      </c>
      <c r="K502" s="5"/>
    </row>
    <row r="503" spans="1:11" x14ac:dyDescent="0.25">
      <c r="A503" t="s">
        <v>26</v>
      </c>
      <c r="C503">
        <v>-6722.6913023975803</v>
      </c>
      <c r="F503" s="5">
        <v>0</v>
      </c>
      <c r="G503" s="5">
        <v>0</v>
      </c>
      <c r="K503" s="5"/>
    </row>
    <row r="504" spans="1:11" x14ac:dyDescent="0.25">
      <c r="A504" t="s">
        <v>331</v>
      </c>
      <c r="C504">
        <v>4.1150736983433002E-2</v>
      </c>
      <c r="F504" s="5">
        <v>7.0539018949021396E-10</v>
      </c>
      <c r="G504" s="5">
        <v>3.6408189427892003E-8</v>
      </c>
      <c r="K504" s="5"/>
    </row>
    <row r="505" spans="1:11" x14ac:dyDescent="0.25">
      <c r="A505" t="s">
        <v>332</v>
      </c>
      <c r="C505">
        <v>4.6782964533549602</v>
      </c>
      <c r="F505" s="5">
        <v>9.1844958902213697E-2</v>
      </c>
      <c r="G505" s="5">
        <v>0</v>
      </c>
      <c r="K505" s="5"/>
    </row>
    <row r="506" spans="1:11" x14ac:dyDescent="0.25">
      <c r="A506" t="s">
        <v>25</v>
      </c>
      <c r="B506" t="s">
        <v>243</v>
      </c>
      <c r="C506">
        <v>-1.0144668050802601E-2</v>
      </c>
      <c r="F506" s="5">
        <v>1.7630014641930699E-2</v>
      </c>
      <c r="G506" s="5">
        <v>0.392292801859561</v>
      </c>
      <c r="K506" s="5"/>
    </row>
    <row r="507" spans="1:11" x14ac:dyDescent="0.25">
      <c r="A507" t="s">
        <v>23</v>
      </c>
      <c r="C507">
        <v>113.686820608788</v>
      </c>
      <c r="F507" s="5"/>
      <c r="G507" s="5"/>
      <c r="K507" s="5"/>
    </row>
    <row r="508" spans="1:11" x14ac:dyDescent="0.25">
      <c r="A508" t="s">
        <v>21</v>
      </c>
      <c r="B508" t="s">
        <v>20</v>
      </c>
      <c r="C508" s="1">
        <v>1.58072053827538E-7</v>
      </c>
      <c r="F508" s="5"/>
      <c r="G508" s="5">
        <v>-286688549.99792498</v>
      </c>
      <c r="K508" s="5"/>
    </row>
    <row r="509" spans="1:11" x14ac:dyDescent="0.25">
      <c r="A509" t="s">
        <v>19</v>
      </c>
      <c r="B509" t="s">
        <v>18</v>
      </c>
      <c r="F509" s="5"/>
      <c r="G509" s="5">
        <v>-8569763.4112334307</v>
      </c>
      <c r="K509" s="5"/>
    </row>
    <row r="510" spans="1:11" x14ac:dyDescent="0.25">
      <c r="A510" t="s">
        <v>17</v>
      </c>
      <c r="B510" t="s">
        <v>16</v>
      </c>
      <c r="C510">
        <v>4.3129702144209498E-4</v>
      </c>
      <c r="F510" s="5"/>
      <c r="G510" s="5">
        <v>-17224.1206342603</v>
      </c>
      <c r="K510" s="5"/>
    </row>
    <row r="511" spans="1:11" x14ac:dyDescent="0.25">
      <c r="A511" t="s">
        <v>15</v>
      </c>
      <c r="B511" t="s">
        <v>14</v>
      </c>
      <c r="F511" s="5"/>
      <c r="G511" s="5">
        <v>-514.86757599221596</v>
      </c>
      <c r="K511" s="5"/>
    </row>
    <row r="512" spans="1:11" x14ac:dyDescent="0.25">
      <c r="A512" t="s">
        <v>13</v>
      </c>
      <c r="B512" t="s">
        <v>12</v>
      </c>
      <c r="F512" s="5"/>
      <c r="G512" s="5">
        <v>3.7154849870865099E-2</v>
      </c>
      <c r="K512" s="5"/>
    </row>
    <row r="513" spans="1:11" x14ac:dyDescent="0.25">
      <c r="A513" t="s">
        <v>11</v>
      </c>
      <c r="B513" t="s">
        <v>10</v>
      </c>
      <c r="C513">
        <v>-288076944.20130497</v>
      </c>
      <c r="D513">
        <v>-283717531.84718102</v>
      </c>
      <c r="E513">
        <v>-604276158.94624996</v>
      </c>
      <c r="F513" s="5"/>
      <c r="G513" s="5">
        <v>1.2429596388747699</v>
      </c>
      <c r="K513" s="5"/>
    </row>
    <row r="514" spans="1:11" x14ac:dyDescent="0.25">
      <c r="A514" t="s">
        <v>9</v>
      </c>
      <c r="B514" t="s">
        <v>8</v>
      </c>
      <c r="C514">
        <v>-15185124.400617899</v>
      </c>
      <c r="D514">
        <v>-15206999.5397308</v>
      </c>
      <c r="E514">
        <v>-6029555.4561173497</v>
      </c>
      <c r="F514" s="5"/>
      <c r="G514" s="5">
        <v>-1.1607366502840599</v>
      </c>
      <c r="K514" s="5"/>
    </row>
    <row r="515" spans="1:11" x14ac:dyDescent="0.25">
      <c r="A515" t="s">
        <v>7</v>
      </c>
      <c r="C515">
        <v>-167180.15149191901</v>
      </c>
      <c r="D515">
        <v>-156670.705124303</v>
      </c>
      <c r="E515">
        <v>1030380.9979260199</v>
      </c>
      <c r="F515" s="5"/>
      <c r="G515" s="5">
        <v>33.453496466673499</v>
      </c>
      <c r="K515" s="5"/>
    </row>
    <row r="516" spans="1:11" x14ac:dyDescent="0.25">
      <c r="A516" t="s">
        <v>6</v>
      </c>
      <c r="B516" t="s">
        <v>5</v>
      </c>
      <c r="C516">
        <v>-8812.4074099624995</v>
      </c>
      <c r="D516">
        <v>-8397.4061285640291</v>
      </c>
      <c r="E516">
        <v>10281.2915517938</v>
      </c>
      <c r="F516" s="5"/>
      <c r="G516" s="5">
        <v>1.4575580158513E-5</v>
      </c>
      <c r="K516" s="5"/>
    </row>
    <row r="517" spans="1:11" x14ac:dyDescent="0.25">
      <c r="A517" t="s">
        <v>4</v>
      </c>
      <c r="C517">
        <v>52.561161639946903</v>
      </c>
      <c r="D517">
        <v>51.581851842864602</v>
      </c>
      <c r="E517">
        <v>5.7072341107972102</v>
      </c>
      <c r="F517" s="5"/>
      <c r="G517" s="5"/>
      <c r="K517" s="5"/>
    </row>
    <row r="518" spans="1:11" x14ac:dyDescent="0.25">
      <c r="A518" t="s">
        <v>3</v>
      </c>
      <c r="B518" t="s">
        <v>2</v>
      </c>
      <c r="C518">
        <v>997.13762162466105</v>
      </c>
      <c r="D518">
        <v>962.36444636754095</v>
      </c>
      <c r="E518">
        <v>571.97342851878</v>
      </c>
      <c r="F518" s="5"/>
      <c r="G518" s="5">
        <v>1.1702498863980801E-2</v>
      </c>
      <c r="K518" s="5"/>
    </row>
    <row r="519" spans="1:11" x14ac:dyDescent="0.25">
      <c r="A519" t="s">
        <v>1</v>
      </c>
      <c r="C519">
        <v>-42.2019339804678</v>
      </c>
      <c r="D519">
        <v>-41.558824959124699</v>
      </c>
      <c r="E519">
        <v>-7.9832071913879001E-4</v>
      </c>
      <c r="F519" s="5"/>
      <c r="G519" s="5"/>
      <c r="K519" s="5"/>
    </row>
    <row r="520" spans="1:11" x14ac:dyDescent="0.25">
      <c r="A520" t="s">
        <v>22</v>
      </c>
      <c r="C520">
        <v>18.970996654435201</v>
      </c>
      <c r="D520">
        <v>18.657035604290101</v>
      </c>
      <c r="E520">
        <v>100.219023333333</v>
      </c>
      <c r="F520" s="5"/>
      <c r="G520" s="5"/>
      <c r="K520" s="5"/>
    </row>
    <row r="521" spans="1:11" x14ac:dyDescent="0.25">
      <c r="A521" t="s">
        <v>21</v>
      </c>
      <c r="B521" t="s">
        <v>20</v>
      </c>
      <c r="C521">
        <v>5.2738327515554004E-4</v>
      </c>
      <c r="D521">
        <v>5.2732648870438604E-4</v>
      </c>
      <c r="E521" s="1">
        <v>4.75602842566437E-9</v>
      </c>
      <c r="F521" s="5">
        <v>-226447728.206541</v>
      </c>
      <c r="G521" s="5"/>
      <c r="K521" s="5"/>
    </row>
    <row r="522" spans="1:11" x14ac:dyDescent="0.25">
      <c r="A522" t="s">
        <v>19</v>
      </c>
      <c r="B522" t="s">
        <v>18</v>
      </c>
      <c r="F522" s="5">
        <v>-10926850.258262901</v>
      </c>
      <c r="G522" s="5"/>
      <c r="K522" s="5"/>
    </row>
    <row r="523" spans="1:11" x14ac:dyDescent="0.25">
      <c r="A523" t="s">
        <v>17</v>
      </c>
      <c r="B523" t="s">
        <v>16</v>
      </c>
      <c r="C523">
        <v>0.24011967236594001</v>
      </c>
      <c r="D523">
        <v>0.23612037779620701</v>
      </c>
      <c r="E523" s="1">
        <v>1.14394685703756E-5</v>
      </c>
      <c r="F523" s="5">
        <v>7.7860846296385702E+37</v>
      </c>
      <c r="G523" s="5"/>
      <c r="K523" s="5"/>
    </row>
    <row r="524" spans="1:11" x14ac:dyDescent="0.25">
      <c r="A524" t="s">
        <v>15</v>
      </c>
      <c r="B524" t="s">
        <v>14</v>
      </c>
      <c r="F524" s="1">
        <v>3.7570428071870299E+36</v>
      </c>
      <c r="K524" s="5"/>
    </row>
    <row r="525" spans="1:11" x14ac:dyDescent="0.25">
      <c r="A525" t="s">
        <v>13</v>
      </c>
      <c r="B525" t="s">
        <v>12</v>
      </c>
      <c r="F525">
        <v>34.032691980822896</v>
      </c>
      <c r="K525" s="5"/>
    </row>
    <row r="526" spans="1:11" x14ac:dyDescent="0.25">
      <c r="A526" t="s">
        <v>11</v>
      </c>
      <c r="B526" t="s">
        <v>10</v>
      </c>
      <c r="F526">
        <v>705.29252269953702</v>
      </c>
    </row>
    <row r="527" spans="1:11" x14ac:dyDescent="0.25">
      <c r="A527" t="s">
        <v>9</v>
      </c>
      <c r="B527" t="s">
        <v>8</v>
      </c>
      <c r="F527">
        <v>-37.741090391230699</v>
      </c>
    </row>
    <row r="528" spans="1:11" x14ac:dyDescent="0.25">
      <c r="A528" t="s">
        <v>7</v>
      </c>
      <c r="F528">
        <v>20.723971030471599</v>
      </c>
    </row>
    <row r="529" spans="1:6" x14ac:dyDescent="0.25">
      <c r="A529" t="s">
        <v>6</v>
      </c>
      <c r="B529" t="s">
        <v>5</v>
      </c>
      <c r="F529">
        <v>5.9999685792610905E-4</v>
      </c>
    </row>
    <row r="530" spans="1:6" x14ac:dyDescent="0.25">
      <c r="A530" t="s">
        <v>4</v>
      </c>
    </row>
    <row r="531" spans="1:6" x14ac:dyDescent="0.25">
      <c r="A531" t="s">
        <v>3</v>
      </c>
      <c r="B531" t="s">
        <v>2</v>
      </c>
      <c r="F531">
        <v>0.298423620048831</v>
      </c>
    </row>
    <row r="532" spans="1:6" x14ac:dyDescent="0.25">
      <c r="A532" t="s">
        <v>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W532"/>
  <sheetViews>
    <sheetView topLeftCell="A127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57031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297</v>
      </c>
      <c r="K1" s="9" t="s">
        <v>295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0.66225967965421495</v>
      </c>
      <c r="G26" s="5">
        <v>6.2485861580758003E-3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0.53472568413328403</v>
      </c>
      <c r="G27" s="18">
        <v>7.7790754710721196E-4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320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6.35264110611115E-6</v>
      </c>
      <c r="G28" s="18">
        <v>2.58898430194079E-13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SUM(K27:K70)+SUM(K73:K83)+SUM(K86:K114)+SUM(K118:K123)+SUM(K126:K128)+K133+SUM(K135:K137)+K139+K142+K132+K138+K141-K37</f>
        <v>9.438361667429597E-4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8.1662307424687204E-14</v>
      </c>
      <c r="G29" s="18">
        <v>4.1737078538341099E-23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SUM(K71:K72)+SUM(K84:K85)+SUM(K115:K117)+SUM(K124:K125)+SUM(K129:K131)+K134+SUM(K140)+K143+K37</f>
        <v>2.1565340506843313E-2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2.1895201351657901E-7</v>
      </c>
      <c r="G30" s="18">
        <v>4.2024728831064202E-20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0.14251753439613959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1.9667154748253701E-14</v>
      </c>
      <c r="G31" s="18">
        <v>3.5657581780868199E-17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3.2563269619710509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3.9780396404284598E-13</v>
      </c>
      <c r="G32" s="18">
        <v>4.5791703187811304E-16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5.3535756260699181E-2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1.90330653561422E-10</v>
      </c>
      <c r="G33" s="18">
        <v>1.78104780483242E-14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1.223217390617076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7.9156773262728702E-15</v>
      </c>
      <c r="G34" s="18">
        <v>4.0816293183969598E-18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12.341695837373958</v>
      </c>
      <c r="P34" s="5">
        <f>14-(-LOG(P38))</f>
        <v>12.819612969040593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8.0270660327562796E-15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1.1637659386684301E-3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8.0270660327562796E-15</v>
      </c>
      <c r="P36" s="5">
        <f>F36</f>
        <v>1.1637659386684301E-3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2.6135459051748501E-2</v>
      </c>
      <c r="G37" s="18">
        <v>1.1086893085867501E-3</v>
      </c>
      <c r="H37" s="17" t="s">
        <v>247</v>
      </c>
      <c r="I37" s="17">
        <v>17</v>
      </c>
      <c r="J37" s="17">
        <f>$W$26/I37</f>
        <v>0.82352941176470584</v>
      </c>
      <c r="K37" s="18">
        <f>F37*J37</f>
        <v>2.1523319219087001E-2</v>
      </c>
      <c r="N37" t="s">
        <v>25</v>
      </c>
      <c r="O37" s="5">
        <f>$F$506</f>
        <v>1.7630014641930699E-2</v>
      </c>
      <c r="P37" s="5">
        <f>$F$506</f>
        <v>1.7630014641930699E-2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5.5940443109653903E-15</v>
      </c>
      <c r="G38" s="18">
        <v>0</v>
      </c>
      <c r="H38" s="17" t="s">
        <v>131</v>
      </c>
      <c r="I38" s="17">
        <v>18</v>
      </c>
      <c r="J38" s="17">
        <f>$W$26/I38</f>
        <v>0.77777777777777779</v>
      </c>
      <c r="K38" s="18">
        <f t="shared" ref="K38:K86" si="1">F38*J38</f>
        <v>4.3509233529730814E-15</v>
      </c>
      <c r="N38" t="s">
        <v>329</v>
      </c>
      <c r="O38" s="2">
        <f>O36/O37</f>
        <v>4.5530682735027043E-13</v>
      </c>
      <c r="P38">
        <f>P36/P37</f>
        <v>6.6010491897185608E-2</v>
      </c>
      <c r="Q38">
        <f>P38*O38</f>
        <v>3.0055027637538311E-14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6.5338637182302695E-4</v>
      </c>
      <c r="G39" s="18">
        <v>8.8532004324568404E-4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1.6895925185206101E-4</v>
      </c>
      <c r="G40" s="18">
        <v>2.92421245727879E-9</v>
      </c>
      <c r="H40" s="17" t="s">
        <v>129</v>
      </c>
      <c r="I40" s="17">
        <v>113</v>
      </c>
      <c r="J40" s="17">
        <f>$W$26/I40</f>
        <v>0.12389380530973451</v>
      </c>
      <c r="K40" s="18">
        <f t="shared" si="1"/>
        <v>2.0933004654237646E-5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5.4122224655417697E-14</v>
      </c>
      <c r="G41" s="18">
        <v>1.92505761025934E-22</v>
      </c>
      <c r="H41" s="17" t="s">
        <v>267</v>
      </c>
      <c r="I41" s="17">
        <v>174</v>
      </c>
      <c r="J41" s="17">
        <f>$W$26*4/I41</f>
        <v>0.32183908045977011</v>
      </c>
      <c r="K41" s="18">
        <f t="shared" si="1"/>
        <v>1.741864701553673E-14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f>$W$26*3/I42</f>
        <v>0.2709677419354839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5.2631880110024602E-12</v>
      </c>
      <c r="G43" s="18">
        <v>1.86794664689158E-20</v>
      </c>
      <c r="H43" s="17" t="s">
        <v>208</v>
      </c>
      <c r="I43" s="17">
        <v>146</v>
      </c>
      <c r="J43" s="17">
        <f>$W$26*2/I43</f>
        <v>0.19178082191780821</v>
      </c>
      <c r="K43" s="18">
        <f>F43*J43</f>
        <v>1.009378522658006E-12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7.2345352833462101E-12</v>
      </c>
      <c r="G44" s="18">
        <v>1.01571275318186E-92</v>
      </c>
      <c r="H44" s="17" t="s">
        <v>207</v>
      </c>
      <c r="I44" s="17">
        <v>181</v>
      </c>
      <c r="J44" s="17">
        <f>$W$26/I44</f>
        <v>7.7348066298342538E-2</v>
      </c>
      <c r="K44" s="18">
        <f t="shared" si="1"/>
        <v>5.5957731473396097E-13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5.2584109510737299E-12</v>
      </c>
      <c r="G45" s="18">
        <v>7.3826926751905302E-93</v>
      </c>
      <c r="H45" s="17" t="s">
        <v>206</v>
      </c>
      <c r="I45" s="17">
        <v>204</v>
      </c>
      <c r="J45" s="17">
        <f>$W$26*2/I45</f>
        <v>0.13725490196078433</v>
      </c>
      <c r="K45" s="18">
        <f t="shared" si="1"/>
        <v>7.2174267955913948E-13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4.3002766363861999E-11</v>
      </c>
      <c r="G46" s="18">
        <v>4.05373363048032E-19</v>
      </c>
      <c r="H46" s="17" t="s">
        <v>205</v>
      </c>
      <c r="I46" s="17">
        <v>165</v>
      </c>
      <c r="J46" s="17">
        <f t="shared" ref="J46:J58" si="2">$W$26/I46</f>
        <v>8.4848484848484854E-2</v>
      </c>
      <c r="K46" s="18">
        <f t="shared" si="1"/>
        <v>3.6487195702670785E-12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5.1968779514125503E-6</v>
      </c>
      <c r="G47" s="18">
        <v>4.5764881548544801E-16</v>
      </c>
      <c r="H47" s="17" t="s">
        <v>266</v>
      </c>
      <c r="I47" s="17">
        <v>121</v>
      </c>
      <c r="J47" s="17">
        <f t="shared" si="2"/>
        <v>0.11570247933884298</v>
      </c>
      <c r="K47" s="18">
        <f t="shared" si="1"/>
        <v>6.0129166379979922E-7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5.2265477650050201E-12</v>
      </c>
      <c r="G48" s="18">
        <v>7.3379574666671701E-93</v>
      </c>
      <c r="H48" s="17" t="s">
        <v>203</v>
      </c>
      <c r="I48" s="17">
        <v>149</v>
      </c>
      <c r="J48" s="17">
        <f t="shared" si="2"/>
        <v>9.3959731543624164E-2</v>
      </c>
      <c r="K48" s="18">
        <f t="shared" si="1"/>
        <v>4.9108502489980051E-13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5.3033128871002403E-12</v>
      </c>
      <c r="G49" s="18">
        <v>7.4457340002769699E-93</v>
      </c>
      <c r="H49" s="17" t="s">
        <v>202</v>
      </c>
      <c r="I49" s="17">
        <v>119</v>
      </c>
      <c r="J49" s="17">
        <f t="shared" si="2"/>
        <v>0.11764705882352941</v>
      </c>
      <c r="K49" s="18">
        <f t="shared" si="1"/>
        <v>6.239191631882636E-13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2.1128255606389899E-14</v>
      </c>
      <c r="G50" s="18">
        <v>2.9663603578377E-95</v>
      </c>
      <c r="H50" s="17" t="s">
        <v>201</v>
      </c>
      <c r="I50" s="17">
        <v>105</v>
      </c>
      <c r="J50" s="17">
        <f t="shared" si="2"/>
        <v>0.13333333333333333</v>
      </c>
      <c r="K50" s="18">
        <f t="shared" si="1"/>
        <v>2.8171007475186532E-15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5.4295739795658496E-6</v>
      </c>
      <c r="G51" s="18">
        <v>7.6230017815859001E-87</v>
      </c>
      <c r="H51" s="17" t="s">
        <v>200</v>
      </c>
      <c r="I51" s="17">
        <v>131</v>
      </c>
      <c r="J51" s="17">
        <f t="shared" si="2"/>
        <v>0.10687022900763359</v>
      </c>
      <c r="K51" s="18">
        <f t="shared" si="1"/>
        <v>5.8025981461009083E-7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9.6747858607654796E-14</v>
      </c>
      <c r="G52" s="18">
        <v>1.3583185371566601E-94</v>
      </c>
      <c r="H52" s="17" t="s">
        <v>200</v>
      </c>
      <c r="I52" s="17">
        <v>131</v>
      </c>
      <c r="J52" s="17">
        <f t="shared" si="2"/>
        <v>0.10687022900763359</v>
      </c>
      <c r="K52" s="18">
        <f t="shared" si="1"/>
        <v>1.0339465805398222E-14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2.0879903836858699E-14</v>
      </c>
      <c r="G53" s="18">
        <v>2.9314923186743799E-95</v>
      </c>
      <c r="H53" s="17" t="s">
        <v>198</v>
      </c>
      <c r="I53" s="17">
        <v>117</v>
      </c>
      <c r="J53" s="17">
        <f t="shared" si="2"/>
        <v>0.11965811965811966</v>
      </c>
      <c r="K53" s="18">
        <f t="shared" si="1"/>
        <v>2.4984500317608703E-15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9.9568694715360798E-14</v>
      </c>
      <c r="G54" s="18">
        <v>5.6947671826894795E-22</v>
      </c>
      <c r="H54" s="17" t="s">
        <v>197</v>
      </c>
      <c r="I54" s="17">
        <v>147</v>
      </c>
      <c r="J54" s="17">
        <f t="shared" si="2"/>
        <v>9.5238095238095233E-2</v>
      </c>
      <c r="K54" s="18">
        <f t="shared" si="1"/>
        <v>9.4827328300343609E-15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2.6291311863812401E-11</v>
      </c>
      <c r="G55" s="18">
        <v>3.6912420372638203E-92</v>
      </c>
      <c r="H55" s="17" t="s">
        <v>196</v>
      </c>
      <c r="I55" s="17">
        <v>133</v>
      </c>
      <c r="J55" s="17">
        <f t="shared" si="2"/>
        <v>0.10526315789473684</v>
      </c>
      <c r="K55" s="18">
        <f t="shared" si="1"/>
        <v>2.7675065119802525E-12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1.9390096548625701E-5</v>
      </c>
      <c r="G56" s="18">
        <v>1.7071165150197301E-15</v>
      </c>
      <c r="H56" s="17" t="s">
        <v>265</v>
      </c>
      <c r="I56" s="17">
        <v>75</v>
      </c>
      <c r="J56" s="17">
        <f t="shared" si="2"/>
        <v>0.18666666666666668</v>
      </c>
      <c r="K56" s="18">
        <f t="shared" si="1"/>
        <v>3.6194846890767976E-6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3.6455711005656402E-6</v>
      </c>
      <c r="G57" s="18">
        <v>5.1183011962076599E-87</v>
      </c>
      <c r="H57" s="17" t="s">
        <v>194</v>
      </c>
      <c r="I57" s="17">
        <v>89</v>
      </c>
      <c r="J57" s="17">
        <f t="shared" si="2"/>
        <v>0.15730337078651685</v>
      </c>
      <c r="K57" s="18">
        <f t="shared" si="1"/>
        <v>5.734606225608872E-7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1.1875121969441099E-13</v>
      </c>
      <c r="G58" s="18">
        <v>1.04575007415419E-23</v>
      </c>
      <c r="H58" s="17" t="s">
        <v>264</v>
      </c>
      <c r="I58" s="17">
        <v>115</v>
      </c>
      <c r="J58" s="17">
        <f t="shared" si="2"/>
        <v>0.12173913043478261</v>
      </c>
      <c r="K58" s="18">
        <f t="shared" si="1"/>
        <v>1.4456670223667426E-14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7.5642838067885594E-8</v>
      </c>
      <c r="G59" s="18">
        <v>1.02138951686651E-5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6.6427612955408403E-4</v>
      </c>
      <c r="G60" s="18">
        <v>3.4271053391886201E-3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f>$W$26*7/I61</f>
        <v>0.83760683760683763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f>$W$26/I62</f>
        <v>0.31111111111111112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2.48975021084547E-10</v>
      </c>
      <c r="G63" s="18">
        <v>7.2063429740885502E-11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1.23119978018979E-10</v>
      </c>
      <c r="G65" s="18">
        <v>5.5331926944759398E-11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7.7173063964083304E-13</v>
      </c>
      <c r="G67" s="18">
        <v>7.3263546002866501E-20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1.7124687078822101E-2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7.1455032372172997E-3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3.2949339436926599E-3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4.0835153797166499E-4</v>
      </c>
      <c r="G71" s="22">
        <v>5.73316527813523E-85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3.0373237784491299E-4</v>
      </c>
      <c r="G72" s="22">
        <v>7.6468673657755001E-13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4.5320747187515302E-7</v>
      </c>
      <c r="G74" s="18">
        <v>3.5543101686003801E-25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4.9756665137482802E-7</v>
      </c>
      <c r="G75" s="18">
        <v>3.6238723497554302E-24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1.4841352752231199E-7</v>
      </c>
      <c r="G76" s="18">
        <v>1.40588132104923E-15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6.7708201503710304E-7</v>
      </c>
      <c r="G78" s="18">
        <v>4.8067579719689197E-21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7.5933094644395504E-5</v>
      </c>
      <c r="G79" s="18">
        <v>8.0043102076177293E-15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4.9709712416696899E-8</v>
      </c>
      <c r="G81" s="18">
        <v>3.22101509395113E-17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1.07687741677307E-3</v>
      </c>
      <c r="G83" s="18">
        <v>1.2060017818031701E-5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7.9769589024237098E-6</v>
      </c>
      <c r="G84" s="22">
        <v>2.14200407141179E-7</v>
      </c>
      <c r="H84" s="20" t="s">
        <v>174</v>
      </c>
      <c r="I84" s="20">
        <v>367</v>
      </c>
      <c r="J84" s="20">
        <f>$W$26*3/I84</f>
        <v>0.11444141689373297</v>
      </c>
      <c r="K84" s="22">
        <f>F84*J84</f>
        <v>9.1289447929644635E-7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5.0685110985060802E-5</v>
      </c>
      <c r="G85" s="22">
        <v>2.68851885775492E-5</v>
      </c>
      <c r="H85" s="20" t="s">
        <v>275</v>
      </c>
      <c r="I85" s="20">
        <f>W27*4.89+W28*8+W26*1+W29*2.1+W30*0.067</f>
        <v>116.42400000000001</v>
      </c>
      <c r="J85" s="20">
        <f>$W$26*1/I85</f>
        <v>0.12025012025012025</v>
      </c>
      <c r="K85" s="22">
        <f t="shared" si="1"/>
        <v>6.0948906908442519E-6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3.1950238708110398E-5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1.1035184429574599E-3</v>
      </c>
      <c r="G87" s="18">
        <v>1.2065133544294201E-19</v>
      </c>
      <c r="H87" s="17" t="s">
        <v>82</v>
      </c>
      <c r="I87" s="17" t="s">
        <v>289</v>
      </c>
      <c r="J87" s="17">
        <f>0.83</f>
        <v>0.83</v>
      </c>
      <c r="K87" s="18">
        <f>F87*J87</f>
        <v>9.1592030765469173E-4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4.8869083706355601E-4</v>
      </c>
      <c r="G88" s="18">
        <v>1.3512831309024399E-7</v>
      </c>
      <c r="H88" s="17" t="s">
        <v>81</v>
      </c>
      <c r="I88" s="17">
        <f>I32-1</f>
        <v>73</v>
      </c>
      <c r="J88" s="17">
        <v>0</v>
      </c>
      <c r="K88" s="18">
        <f t="shared" ref="K88:K143" si="3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1.25379253747089E-8</v>
      </c>
      <c r="G89" s="18">
        <v>6.5208775547597697E-13</v>
      </c>
      <c r="H89" s="17" t="s">
        <v>80</v>
      </c>
      <c r="I89" s="17">
        <f>I34-1</f>
        <v>101</v>
      </c>
      <c r="J89" s="17">
        <v>0</v>
      </c>
      <c r="K89" s="18">
        <f t="shared" si="3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3.4271222287454901E-4</v>
      </c>
      <c r="G90" s="18">
        <v>4.72230976033911E-8</v>
      </c>
      <c r="H90" s="17" t="s">
        <v>79</v>
      </c>
      <c r="I90" s="17">
        <f>I33-1</f>
        <v>87</v>
      </c>
      <c r="J90" s="17">
        <v>0</v>
      </c>
      <c r="K90" s="18">
        <f t="shared" si="3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1.1749414927152301E-7</v>
      </c>
      <c r="G91" s="18">
        <v>6.0095426460687199E-17</v>
      </c>
      <c r="H91" s="17" t="s">
        <v>78</v>
      </c>
      <c r="I91" s="17">
        <f>I29-1</f>
        <v>281</v>
      </c>
      <c r="J91" s="17">
        <v>0</v>
      </c>
      <c r="K91" s="18">
        <f t="shared" si="3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1.1075112588095201E-12</v>
      </c>
      <c r="G92" s="18">
        <v>0</v>
      </c>
      <c r="H92" s="17" t="s">
        <v>77</v>
      </c>
      <c r="I92" s="17">
        <f>I50-1</f>
        <v>104</v>
      </c>
      <c r="J92" s="17">
        <f t="shared" ref="J92:J97" si="4">$W$26/I92</f>
        <v>0.13461538461538461</v>
      </c>
      <c r="K92" s="18">
        <f t="shared" si="3"/>
        <v>1.4908805407051231E-13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1.2820088833181099E-12</v>
      </c>
      <c r="G93" s="18">
        <v>1.79991211802668E-93</v>
      </c>
      <c r="H93" s="17" t="s">
        <v>277</v>
      </c>
      <c r="I93" s="17">
        <f>I53-1</f>
        <v>116</v>
      </c>
      <c r="J93" s="17">
        <f t="shared" si="4"/>
        <v>0.1206896551724138</v>
      </c>
      <c r="K93" s="18">
        <f t="shared" si="3"/>
        <v>1.5472521005563396E-13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3.7232048952529099E-6</v>
      </c>
      <c r="G94" s="18">
        <v>2.1298254272123199E-14</v>
      </c>
      <c r="H94" s="17" t="s">
        <v>75</v>
      </c>
      <c r="I94" s="17">
        <f>I54-1</f>
        <v>146</v>
      </c>
      <c r="J94" s="17">
        <f t="shared" si="4"/>
        <v>9.5890410958904104E-2</v>
      </c>
      <c r="K94" s="18">
        <f t="shared" si="3"/>
        <v>3.5701964749000506E-7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3.9668793720939201E-6</v>
      </c>
      <c r="G95" s="18">
        <v>5.5694109030679797E-87</v>
      </c>
      <c r="H95" s="17" t="s">
        <v>278</v>
      </c>
      <c r="I95" s="17">
        <f>I52-1</f>
        <v>130</v>
      </c>
      <c r="J95" s="17">
        <f t="shared" si="4"/>
        <v>0.1076923076923077</v>
      </c>
      <c r="K95" s="18">
        <f t="shared" si="3"/>
        <v>4.272023939178068E-7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4.2600122676777301E-6</v>
      </c>
      <c r="G96" s="18">
        <v>3.75146306394646E-16</v>
      </c>
      <c r="H96" s="17" t="s">
        <v>279</v>
      </c>
      <c r="I96" s="17">
        <f>I58-1</f>
        <v>114</v>
      </c>
      <c r="J96" s="17">
        <f t="shared" si="4"/>
        <v>0.12280701754385964</v>
      </c>
      <c r="K96" s="18">
        <f t="shared" si="3"/>
        <v>5.2315940129375635E-7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1.45216140179267E-12</v>
      </c>
      <c r="G97" s="18">
        <v>4.3956876032921897E-24</v>
      </c>
      <c r="H97" s="17" t="s">
        <v>280</v>
      </c>
      <c r="I97" s="17">
        <f>I46-1</f>
        <v>164</v>
      </c>
      <c r="J97" s="17">
        <f t="shared" si="4"/>
        <v>8.5365853658536592E-2</v>
      </c>
      <c r="K97" s="18">
        <f t="shared" si="3"/>
        <v>1.2396499771400842E-13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7.4687410169251601E-13</v>
      </c>
      <c r="G98" s="18">
        <v>4.9672450090574E-24</v>
      </c>
      <c r="H98" s="17" t="s">
        <v>281</v>
      </c>
      <c r="I98" s="17">
        <f>I45-1</f>
        <v>203</v>
      </c>
      <c r="J98" s="17">
        <f>$W$26*2/I98</f>
        <v>0.13793103448275862</v>
      </c>
      <c r="K98" s="18">
        <f t="shared" si="3"/>
        <v>1.0301711747482979E-13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4.9682272118264697E-10</v>
      </c>
      <c r="G99" s="18">
        <v>2.7035358100628501E-12</v>
      </c>
      <c r="H99" s="17" t="s">
        <v>282</v>
      </c>
      <c r="I99" s="17">
        <f>I41-1</f>
        <v>173</v>
      </c>
      <c r="J99" s="17">
        <f>$W$26*4/I99</f>
        <v>0.32369942196531792</v>
      </c>
      <c r="K99" s="18">
        <f t="shared" si="3"/>
        <v>1.6082122766605913E-10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5.4143179134576602E-14</v>
      </c>
      <c r="G100" s="18">
        <v>1.9219108874093401E-22</v>
      </c>
      <c r="H100" s="17" t="s">
        <v>283</v>
      </c>
      <c r="I100" s="17">
        <f>I43-1</f>
        <v>145</v>
      </c>
      <c r="J100" s="17">
        <f>$W$26*2/I100</f>
        <v>0.19310344827586207</v>
      </c>
      <c r="K100" s="18">
        <f t="shared" si="3"/>
        <v>1.0455234591504448E-14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6.5898297152320603E-12</v>
      </c>
      <c r="G101" s="18">
        <v>6.2130795831593294E-20</v>
      </c>
      <c r="H101" s="17" t="s">
        <v>284</v>
      </c>
      <c r="I101" s="17">
        <f>I46-1</f>
        <v>164</v>
      </c>
      <c r="J101" s="17">
        <f>$W$26/I101</f>
        <v>8.5365853658536592E-2</v>
      </c>
      <c r="K101" s="18">
        <f t="shared" si="3"/>
        <v>5.6254643910517591E-13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1.0907638850099801E-12</v>
      </c>
      <c r="G102" s="18">
        <v>1.53140837016194E-93</v>
      </c>
      <c r="H102" s="17" t="s">
        <v>285</v>
      </c>
      <c r="I102" s="17">
        <f>I48-1</f>
        <v>148</v>
      </c>
      <c r="J102" s="17">
        <f>$W$26/I102</f>
        <v>9.45945945945946E-2</v>
      </c>
      <c r="K102" s="18">
        <f t="shared" si="3"/>
        <v>1.0318036750094407E-13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7.0610166102136103E-14</v>
      </c>
      <c r="G103" s="18">
        <v>9.9135111524477202E-95</v>
      </c>
      <c r="H103" s="17" t="s">
        <v>287</v>
      </c>
      <c r="I103" s="17">
        <f>I49-1</f>
        <v>118</v>
      </c>
      <c r="J103" s="17">
        <f>$W$26/I103</f>
        <v>0.11864406779661017</v>
      </c>
      <c r="K103" s="18">
        <f t="shared" si="3"/>
        <v>8.3774773341517413E-15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8.1585228539149502E-13</v>
      </c>
      <c r="G104" s="18">
        <v>1.14543856450918E-93</v>
      </c>
      <c r="H104" s="17" t="s">
        <v>64</v>
      </c>
      <c r="I104" s="17">
        <f>I55-1</f>
        <v>132</v>
      </c>
      <c r="J104" s="17">
        <f>$W$26/I104</f>
        <v>0.10606060606060606</v>
      </c>
      <c r="K104" s="18">
        <f t="shared" si="3"/>
        <v>8.6529787844552509E-14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8.6513410340304406E-12</v>
      </c>
      <c r="G105" s="18">
        <v>1.2146291470328999E-92</v>
      </c>
      <c r="H105" s="17" t="s">
        <v>64</v>
      </c>
      <c r="I105" s="17">
        <f>I104</f>
        <v>132</v>
      </c>
      <c r="J105" s="17">
        <f>$W$26/I105</f>
        <v>0.10606060606060606</v>
      </c>
      <c r="K105" s="18">
        <f t="shared" si="3"/>
        <v>9.1756647330625892E-13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1.72649769547341E-10</v>
      </c>
      <c r="G106" s="18">
        <v>6.1285184413902696E-19</v>
      </c>
      <c r="H106" s="17" t="s">
        <v>283</v>
      </c>
      <c r="I106" s="17">
        <f>I100</f>
        <v>145</v>
      </c>
      <c r="J106" s="17">
        <f>$W$26*2/I106</f>
        <v>0.19310344827586207</v>
      </c>
      <c r="K106" s="18">
        <f t="shared" si="3"/>
        <v>3.3339265843624466E-11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1.60664769622709E-7</v>
      </c>
      <c r="G107" s="18">
        <v>4.8633170888890698E-19</v>
      </c>
      <c r="H107" s="17" t="s">
        <v>280</v>
      </c>
      <c r="I107" s="17">
        <f>I97</f>
        <v>164</v>
      </c>
      <c r="J107" s="17">
        <f>$W$26/I107</f>
        <v>8.5365853658536592E-2</v>
      </c>
      <c r="K107" s="18">
        <f t="shared" si="3"/>
        <v>1.3715285211694672E-8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1.6130438273781899E-13</v>
      </c>
      <c r="G108" s="18">
        <v>4.8826781560371196E-25</v>
      </c>
      <c r="H108" s="17" t="s">
        <v>280</v>
      </c>
      <c r="I108" s="17">
        <f>I97</f>
        <v>164</v>
      </c>
      <c r="J108" s="17">
        <f>$W$26/I108</f>
        <v>8.5365853658536592E-2</v>
      </c>
      <c r="K108" s="18">
        <f t="shared" si="3"/>
        <v>1.3769886331277231E-14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5.1403073507462602E-11</v>
      </c>
      <c r="G109" s="18">
        <v>3.4186706936488898E-22</v>
      </c>
      <c r="H109" s="17" t="s">
        <v>281</v>
      </c>
      <c r="I109" s="17">
        <f>I99</f>
        <v>173</v>
      </c>
      <c r="J109" s="17">
        <f>$W$26*2/I109</f>
        <v>0.16184971098265896</v>
      </c>
      <c r="K109" s="18">
        <f t="shared" si="3"/>
        <v>8.3195725908031965E-12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5.1603334422161797E-7</v>
      </c>
      <c r="G110" s="18">
        <v>2.8080733142974501E-9</v>
      </c>
      <c r="H110" s="17" t="s">
        <v>282</v>
      </c>
      <c r="I110" s="17">
        <f>I99</f>
        <v>173</v>
      </c>
      <c r="J110" s="17">
        <f>$W$26*4/I110</f>
        <v>0.32369942196531792</v>
      </c>
      <c r="K110" s="18">
        <f t="shared" si="3"/>
        <v>1.6703969523936767E-7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1.16021907553188E-13</v>
      </c>
      <c r="G111" s="18">
        <v>6.3135071817001296E-16</v>
      </c>
      <c r="H111" s="17" t="s">
        <v>282</v>
      </c>
      <c r="I111" s="17">
        <f>I99</f>
        <v>173</v>
      </c>
      <c r="J111" s="17">
        <f>$W$26*4/I111</f>
        <v>0.32369942196531792</v>
      </c>
      <c r="K111" s="18">
        <f t="shared" si="3"/>
        <v>3.7556224410280509E-14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1.0350059685382499E-6</v>
      </c>
      <c r="G112" s="18">
        <v>9.7583317467355798E-15</v>
      </c>
      <c r="H112" s="17" t="s">
        <v>284</v>
      </c>
      <c r="I112" s="17">
        <f>I101</f>
        <v>164</v>
      </c>
      <c r="J112" s="17">
        <f>$W$26/I112</f>
        <v>8.5365853658536592E-2</v>
      </c>
      <c r="K112" s="18">
        <f t="shared" si="3"/>
        <v>8.8354168045948175E-8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3.7371892440752497E-11</v>
      </c>
      <c r="G113" s="18">
        <v>5.24693104337944E-92</v>
      </c>
      <c r="H113" s="17" t="s">
        <v>285</v>
      </c>
      <c r="I113" s="17">
        <f>I102</f>
        <v>148</v>
      </c>
      <c r="J113" s="17">
        <f>$W$26/I113</f>
        <v>9.45945945945946E-2</v>
      </c>
      <c r="K113" s="18">
        <f t="shared" si="3"/>
        <v>3.5351790146657771E-12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2.6675487351226898E-7</v>
      </c>
      <c r="G114" s="18">
        <v>3.7451794260170302E-88</v>
      </c>
      <c r="H114" s="17" t="s">
        <v>286</v>
      </c>
      <c r="I114" s="17">
        <f>I103</f>
        <v>118</v>
      </c>
      <c r="J114" s="17">
        <f>$W$26/I114</f>
        <v>0.11864406779661017</v>
      </c>
      <c r="K114" s="18">
        <f t="shared" si="3"/>
        <v>3.1648883298065812E-8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f>$W$26*2/I115</f>
        <v>0.35897435897435898</v>
      </c>
      <c r="K115" s="22">
        <f t="shared" si="3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1.5738734898678701E-8</v>
      </c>
      <c r="G116" s="22">
        <v>2.20968357046181E-89</v>
      </c>
      <c r="H116" s="20" t="s">
        <v>249</v>
      </c>
      <c r="I116" s="20">
        <f>I38+I70</f>
        <v>51</v>
      </c>
      <c r="J116" s="20">
        <f>$W$26/I116</f>
        <v>0.27450980392156865</v>
      </c>
      <c r="K116" s="22">
        <f t="shared" si="3"/>
        <v>4.3204370310098401E-9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1.9755181355586099E-4</v>
      </c>
      <c r="G117" s="22">
        <v>2.77358376984904E-85</v>
      </c>
      <c r="H117" s="20" t="s">
        <v>250</v>
      </c>
      <c r="I117" s="20">
        <f>I38+I68</f>
        <v>79</v>
      </c>
      <c r="J117" s="20">
        <f>$W$26/I117</f>
        <v>0.17721518987341772</v>
      </c>
      <c r="K117" s="22">
        <f t="shared" si="3"/>
        <v>3.5009182149139924E-5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3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2.7738904212107399E-15</v>
      </c>
      <c r="G119" s="18">
        <v>0</v>
      </c>
      <c r="H119" s="17" t="s">
        <v>252</v>
      </c>
      <c r="I119" s="17">
        <f>W30+W32*2+W31*1+W33*2</f>
        <v>230</v>
      </c>
      <c r="J119" s="17">
        <f>$W$26/I119</f>
        <v>6.0869565217391307E-2</v>
      </c>
      <c r="K119" s="18">
        <f t="shared" si="3"/>
        <v>1.6884550389978417E-16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2.0712761923676501E-14</v>
      </c>
      <c r="G120" s="18">
        <v>4.0529436639462797E-30</v>
      </c>
      <c r="H120" s="17" t="s">
        <v>49</v>
      </c>
      <c r="I120" s="17">
        <f>W28*3+W33*1+W29*4</f>
        <v>98</v>
      </c>
      <c r="J120" s="17">
        <v>0</v>
      </c>
      <c r="K120" s="18">
        <f t="shared" si="3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3.3756616807645299E-6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3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8.9740546033934603E-10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3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4.0331090122134799E-6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3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f>$W$26/I124</f>
        <v>0.10606060606060606</v>
      </c>
      <c r="K124" s="22">
        <f t="shared" si="3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f>$W$26*2/I125</f>
        <v>0.24347826086956523</v>
      </c>
      <c r="K125" s="22">
        <f t="shared" si="3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3.7578891062568599E-10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3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1.04420859879672E-2</v>
      </c>
      <c r="G127" s="18">
        <v>1.4660457779804E-83</v>
      </c>
      <c r="H127" s="17" t="s">
        <v>42</v>
      </c>
      <c r="I127" s="17">
        <f>I126+2+I123</f>
        <v>136</v>
      </c>
      <c r="J127" s="17">
        <v>0</v>
      </c>
      <c r="K127" s="18">
        <f t="shared" si="3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3.1257991853090602E-4</v>
      </c>
      <c r="G128" s="18">
        <v>4.38855292296726E-85</v>
      </c>
      <c r="H128" s="17" t="s">
        <v>41</v>
      </c>
      <c r="I128" s="17">
        <f>I127+2+I124</f>
        <v>270</v>
      </c>
      <c r="J128" s="17">
        <v>0</v>
      </c>
      <c r="K128" s="18">
        <f t="shared" si="3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3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3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3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7.2952604584913805E-5</v>
      </c>
      <c r="G132" s="22">
        <v>1.02423843346655E-85</v>
      </c>
      <c r="H132" s="20" t="s">
        <v>37</v>
      </c>
      <c r="I132" s="20">
        <f>W35+I36*2</f>
        <v>58</v>
      </c>
      <c r="J132" s="20">
        <v>0</v>
      </c>
      <c r="K132" s="22">
        <f t="shared" si="3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8.8924545663183006E-3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3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f>$W$26*2/I134</f>
        <v>0.11428571428571428</v>
      </c>
      <c r="K134" s="22">
        <f t="shared" si="3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3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9.5558812934831494E-5</v>
      </c>
      <c r="G136" s="18">
        <v>1.3416245988910901E-85</v>
      </c>
      <c r="H136" s="17" t="s">
        <v>33</v>
      </c>
      <c r="I136" s="17">
        <f>I135+I36*2</f>
        <v>90</v>
      </c>
      <c r="J136" s="17">
        <v>0</v>
      </c>
      <c r="K136" s="18">
        <f t="shared" si="3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9.4743142659830405E-3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3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7.9077826701282604E-7</v>
      </c>
      <c r="G138" s="22">
        <v>1.1102351972668301E-87</v>
      </c>
      <c r="H138" s="20" t="s">
        <v>31</v>
      </c>
      <c r="I138" s="20">
        <f>I137+I36*3</f>
        <v>107</v>
      </c>
      <c r="J138" s="20">
        <v>0</v>
      </c>
      <c r="K138" s="22">
        <f t="shared" si="3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3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4.72065721903538E-20</v>
      </c>
      <c r="G140" s="22">
        <v>1.87714163964647E-96</v>
      </c>
      <c r="H140" s="20" t="s">
        <v>29</v>
      </c>
      <c r="I140" s="20">
        <f>I137+I69</f>
        <v>116</v>
      </c>
      <c r="J140" s="20">
        <v>0</v>
      </c>
      <c r="K140" s="22">
        <f t="shared" si="3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5.99270190795601E-5</v>
      </c>
      <c r="G141" s="22">
        <v>8.41362093836223E-86</v>
      </c>
      <c r="H141" s="20" t="s">
        <v>28</v>
      </c>
      <c r="I141" s="20">
        <f>W32+I36*2</f>
        <v>74</v>
      </c>
      <c r="J141" s="20">
        <v>0</v>
      </c>
      <c r="K141" s="22">
        <f t="shared" si="3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8.2506216983447705E-3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3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3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2.84722354557944E-9</v>
      </c>
      <c r="G144" s="14">
        <v>2.4024430751293301E-9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2.9430134818814999E-2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0.80742600004348697</v>
      </c>
      <c r="G147" s="14">
        <v>0.12449336976842799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9.5923718463851692E-6</v>
      </c>
      <c r="G148" s="14">
        <v>4.1433121612554403E-11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1.2330859017013601E-13</v>
      </c>
      <c r="G149" s="14">
        <v>6.6794435545069999E-21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3.3061353460458298E-7</v>
      </c>
      <c r="G150" s="14">
        <v>6.7254780150147402E-18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2.9697043852227998E-14</v>
      </c>
      <c r="G151" s="14">
        <v>5.7065039800697298E-15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6.0067670773879902E-13</v>
      </c>
      <c r="G152" s="14">
        <v>7.3283302861446802E-14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2.8739580471031999E-10</v>
      </c>
      <c r="G153" s="14">
        <v>2.8503212723258299E-12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1.19525279425223E-14</v>
      </c>
      <c r="G154" s="14">
        <v>6.5320845630363505E-16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1.2120722851416E-14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1.75726527587497E-3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3.9464065010562897E-2</v>
      </c>
      <c r="G157" s="14">
        <v>0.17743042674603399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8.4469045645149397E-15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9.8660146751524801E-4</v>
      </c>
      <c r="G159" s="14">
        <v>0.14168325775607299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2.5512537912662802E-4</v>
      </c>
      <c r="G160" s="14">
        <v>4.6797985709126801E-7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8.1723569044210099E-14</v>
      </c>
      <c r="G161" s="14">
        <v>3.0807890962203598E-20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7.9473176047053393E-12</v>
      </c>
      <c r="G163" s="14">
        <v>2.98939087921098E-18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1.09240159194405E-11</v>
      </c>
      <c r="G164" s="14">
        <v>1.62550811893524E-90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7.9401043316109795E-12</v>
      </c>
      <c r="G165" s="14">
        <v>1.1814981002780899E-90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6.4933390458430198E-11</v>
      </c>
      <c r="G166" s="14">
        <v>6.4874413634213697E-17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7.8471906278908406E-6</v>
      </c>
      <c r="G167" s="14">
        <v>7.3240378528504905E-14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7.8919915035956207E-12</v>
      </c>
      <c r="G168" s="14">
        <v>1.17433884738605E-90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8.0079054335140199E-12</v>
      </c>
      <c r="G169" s="14">
        <v>1.1915869945481899E-90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3.1903279416650498E-14</v>
      </c>
      <c r="G170" s="14">
        <v>4.7472504704186802E-93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8.1985573731452103E-6</v>
      </c>
      <c r="G171" s="14">
        <v>1.2199562571020599E-84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1.4608749646085901E-13</v>
      </c>
      <c r="G172" s="14">
        <v>2.1738014053005199E-92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3.1528272788342902E-14</v>
      </c>
      <c r="G173" s="14">
        <v>4.6914489846405599E-93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1.5034690737528899E-13</v>
      </c>
      <c r="G174" s="14">
        <v>9.1136891428302395E-20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3.9699399905396399E-11</v>
      </c>
      <c r="G175" s="14">
        <v>5.9073235831007603E-90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2.9278691039668701E-5</v>
      </c>
      <c r="G176" s="14">
        <v>2.7320044436186898E-13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5.50474566482606E-6</v>
      </c>
      <c r="G177" s="14">
        <v>8.19113486911381E-85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1.7931216914249401E-13</v>
      </c>
      <c r="G178" s="14">
        <v>1.6735787067649501E-21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1.14219301569712E-7</v>
      </c>
      <c r="G179" s="14">
        <v>1.6345929959634799E-3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1.0030448024571301E-3</v>
      </c>
      <c r="G180" s="14">
        <v>0.54846092419792603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3.7594772675054602E-10</v>
      </c>
      <c r="G183" s="14">
        <v>1.15327576379417E-8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1.8590891428459499E-10</v>
      </c>
      <c r="G185" s="14">
        <v>8.8551114676153195E-9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1.1652991467694001E-12</v>
      </c>
      <c r="G187" s="14">
        <v>1.1724819687119001E-17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2.5857964186742199E-2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1.0789579158659E-2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4.9752899729801504E-3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6.1660335139967701E-4</v>
      </c>
      <c r="G191" s="14">
        <v>9.1751399966303806E-83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4.5863033365325901E-4</v>
      </c>
      <c r="G192" s="14">
        <v>1.22377561456723E-10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6.8433499093857798E-7</v>
      </c>
      <c r="G194" s="14">
        <v>5.6881830204209003E-23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7.5131654041602201E-7</v>
      </c>
      <c r="G195" s="14">
        <v>5.7995076935473902E-22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2.24101711280087E-7</v>
      </c>
      <c r="G196" s="14">
        <v>2.2499190784658399E-13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1.0223814552482299E-6</v>
      </c>
      <c r="G198" s="14">
        <v>7.6925529237627105E-19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1.14657583689894E-4</v>
      </c>
      <c r="G199" s="14">
        <v>1.2809794096017701E-12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7.5060756292232403E-8</v>
      </c>
      <c r="G201" s="14">
        <v>5.1547902396900197E-15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1.6260651974695801E-3</v>
      </c>
      <c r="G203" s="14">
        <v>1.9300394541963901E-3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1.2045062001341701E-5</v>
      </c>
      <c r="G204" s="14">
        <v>3.4279819741997401E-5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7.6533590285196001E-5</v>
      </c>
      <c r="G205" s="14">
        <v>4.3026034845982299E-3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4.8244275908194398E-5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1.6662926596008999E-3</v>
      </c>
      <c r="G207" s="14">
        <v>1.9308581556006901E-17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7.3791422319220105E-4</v>
      </c>
      <c r="G208" s="14">
        <v>2.1625422082978198E-5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1.89320379299783E-8</v>
      </c>
      <c r="G209" s="14">
        <v>1.04357648111038E-10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5.1748918649779398E-4</v>
      </c>
      <c r="G210" s="14">
        <v>7.5574052127550398E-6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1.7741401580248701E-7</v>
      </c>
      <c r="G211" s="14">
        <v>9.6174438409589098E-15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1.6723217384875099E-12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1.93580995899899E-12</v>
      </c>
      <c r="G213" s="14">
        <v>2.8805110027977102E-91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5.6219712744657804E-6</v>
      </c>
      <c r="G214" s="14">
        <v>3.4084917345017101E-12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5.9899152763839397E-6</v>
      </c>
      <c r="G215" s="14">
        <v>8.9130737132750605E-85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6.4325405857442599E-6</v>
      </c>
      <c r="G216" s="14">
        <v>6.0036990273359503E-14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2.1927371488943501E-12</v>
      </c>
      <c r="G217" s="14">
        <v>7.0346915159537597E-22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1.1277662292267001E-12</v>
      </c>
      <c r="G218" s="14">
        <v>7.9493902834925799E-22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7.5019321943629797E-10</v>
      </c>
      <c r="G219" s="14">
        <v>4.3266360448095002E-10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8.1755209924370303E-14</v>
      </c>
      <c r="G220" s="14">
        <v>3.07575320046668E-20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9.9505223067072501E-12</v>
      </c>
      <c r="G221" s="14">
        <v>9.9431766258506606E-18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1.6470335104494101E-12</v>
      </c>
      <c r="G222" s="14">
        <v>2.45080780102987E-91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1.06620058975965E-13</v>
      </c>
      <c r="G223" s="14">
        <v>1.5865206787035E-92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1.2319220246315999E-12</v>
      </c>
      <c r="G224" s="14">
        <v>1.83311638110133E-91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1.3063366682005399E-11</v>
      </c>
      <c r="G225" s="14">
        <v>1.9438463618895399E-90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2.6069799332715899E-10</v>
      </c>
      <c r="G226" s="14">
        <v>9.8078481857366097E-17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2.42600862710828E-7</v>
      </c>
      <c r="G227" s="14">
        <v>7.7830679866734597E-17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2.4356666681269301E-13</v>
      </c>
      <c r="G228" s="14">
        <v>7.8140527033089699E-23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7.7617700558641302E-11</v>
      </c>
      <c r="G229" s="14">
        <v>5.4711107555595194E-20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7.7920090875991995E-7</v>
      </c>
      <c r="G230" s="14">
        <v>4.4939338968195802E-7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1.7519095774299101E-13</v>
      </c>
      <c r="G231" s="14">
        <v>1.01038971408603E-13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1.56284007668813E-6</v>
      </c>
      <c r="G232" s="14">
        <v>1.5616863559004799E-12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5.6430873853388602E-11</v>
      </c>
      <c r="G233" s="14">
        <v>8.3969891918641495E-90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4.0279497862764202E-7</v>
      </c>
      <c r="G234" s="14">
        <v>5.99364293181216E-86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2.37652017512169E-8</v>
      </c>
      <c r="G236" s="14">
        <v>3.5362936743793901E-87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2.9829962418821698E-4</v>
      </c>
      <c r="G237" s="14">
        <v>4.4387381396100398E-83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4.18852378671018E-15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3.1275891557358902E-14</v>
      </c>
      <c r="G240" s="14">
        <v>6.4861771309789396E-28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5.0971873790158304E-6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1.35506582675833E-9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6.0899208212695097E-6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5.6743437985216902E-10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1.57673588001301E-2</v>
      </c>
      <c r="G247" s="14">
        <v>2.3462039906189801E-81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4.7198995822018503E-4</v>
      </c>
      <c r="G248" s="14">
        <v>7.0232734444981705E-83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1.10157098229209E-4</v>
      </c>
      <c r="G252" s="14">
        <v>1.6391522939038101E-83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1.3427443704501701E-2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1.44292059248912E-4</v>
      </c>
      <c r="G256" s="14">
        <v>2.14708506044547E-83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1.4306041205664E-2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1.19406071561795E-6</v>
      </c>
      <c r="G258" s="14">
        <v>1.7767782489994801E-85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7.1281060346300597E-20</v>
      </c>
      <c r="G260" s="14">
        <v>3.0041061964399898E-94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9.0488702423873602E-5</v>
      </c>
      <c r="G261" s="14">
        <v>1.34648394461014E-83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1.24582878164237E-2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4.2992554628511496E-9</v>
      </c>
      <c r="G264" s="14">
        <v>3.8447786656896198E-7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4.4438965141561003E-2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0.37748719799806701</v>
      </c>
      <c r="G266" s="14">
        <v>3.1353094658635402E-3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0.231197590148464</v>
      </c>
      <c r="G267" s="14">
        <v>3.3634133460599302E-4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1.4041072894267099E-5</v>
      </c>
      <c r="G268" s="14">
        <v>5.7223628249191795E-13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5.5359204852425096E-13</v>
      </c>
      <c r="G269" s="14">
        <v>2.82937324894556E-22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9.4670128287541E-7</v>
      </c>
      <c r="G270" s="14">
        <v>1.81705863572008E-19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2.8345511773170901E-14</v>
      </c>
      <c r="G271" s="14">
        <v>5.13918976644118E-17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7.0725827726578095E-13</v>
      </c>
      <c r="G272" s="14">
        <v>8.1413369491182705E-16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4.0246400324380201E-10</v>
      </c>
      <c r="G273" s="14">
        <v>3.7661176278686897E-14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1.9402882931992601E-14</v>
      </c>
      <c r="G274" s="14">
        <v>1.00048767240408E-17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1.9264958478615E-16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4.75021511984475E-4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1.06824360842003E-2</v>
      </c>
      <c r="G277" s="14">
        <v>4.5315839498988401E-4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2.4217960392803801E-15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6.9012968511976804E-4</v>
      </c>
      <c r="G279" s="14">
        <v>9.3510619294161397E-4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4.5868836018259101E-4</v>
      </c>
      <c r="G280" s="14">
        <v>7.9386136133530295E-9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2.2627798972487401E-13</v>
      </c>
      <c r="G281" s="14">
        <v>8.0484157650095597E-22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1.8466140190635899E-11</v>
      </c>
      <c r="G283" s="14">
        <v>6.5537777822149794E-20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3.14600329966718E-11</v>
      </c>
      <c r="G284" s="14">
        <v>4.4169190526722798E-92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2.57740247142244E-11</v>
      </c>
      <c r="G285" s="14">
        <v>3.6186160655440898E-92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1.7048898770033101E-10</v>
      </c>
      <c r="G286" s="14">
        <v>1.6071453106518499E-18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1.49859891613476E-5</v>
      </c>
      <c r="G287" s="14">
        <v>1.31970006851986E-15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1.8716963304521401E-11</v>
      </c>
      <c r="G288" s="14">
        <v>2.6278202517033201E-92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1.51615860584769E-11</v>
      </c>
      <c r="G289" s="14">
        <v>2.1286531497758301E-92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5.3290626075245902E-14</v>
      </c>
      <c r="G290" s="14">
        <v>7.4818860382469701E-95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1.7093353528123101E-5</v>
      </c>
      <c r="G291" s="14">
        <v>2.3998690300298499E-86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3.0458105120095301E-13</v>
      </c>
      <c r="G292" s="14">
        <v>4.2762505947618199E-94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5.8704875258204604E-14</v>
      </c>
      <c r="G293" s="14">
        <v>8.2420346488557099E-95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3.5159092100224301E-13</v>
      </c>
      <c r="G294" s="14">
        <v>2.0109015633668398E-21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8.3987440104382304E-11</v>
      </c>
      <c r="G295" s="14">
        <v>1.17916508358864E-91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3.4933464749732499E-5</v>
      </c>
      <c r="G296" s="14">
        <v>3.0755646033827998E-15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7.7951747784558301E-6</v>
      </c>
      <c r="G297" s="14">
        <v>1.0944252983305699E-86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3.28129570220565E-13</v>
      </c>
      <c r="G298" s="14">
        <v>2.8895831409004701E-23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3.6596852257029401E-9</v>
      </c>
      <c r="G299" s="14">
        <v>4.94159687822605E-7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2.5576374048396098E-4</v>
      </c>
      <c r="G300" s="14">
        <v>1.3195254828317199E-3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2.0365288299842399E-10</v>
      </c>
      <c r="G303" s="14">
        <v>5.8945371955615199E-11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2.3081639135477901E-10</v>
      </c>
      <c r="G305" s="14">
        <v>1.0373227732486201E-10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1.1487997118921799E-12</v>
      </c>
      <c r="G307" s="14">
        <v>1.0906025524587599E-19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2.5077586294672199E-2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1.02911023887077E-2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2.6154347413837099E-3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1.58906655785874E-3</v>
      </c>
      <c r="G311" s="14">
        <v>2.2310143018963702E-84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9.6307063870185096E-4</v>
      </c>
      <c r="G312" s="14">
        <v>2.4246586716501099E-12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9.6307064112651201E-6</v>
      </c>
      <c r="G314" s="14">
        <v>7.5529464654974101E-24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9.6307064112651201E-6</v>
      </c>
      <c r="G315" s="14">
        <v>7.0142262500838097E-23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9.1236907356076904E-7</v>
      </c>
      <c r="G316" s="14">
        <v>8.6426261799434107E-15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9.6307064112650405E-6</v>
      </c>
      <c r="G318" s="14">
        <v>6.8370557465632301E-20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2.7359860332709499E-4</v>
      </c>
      <c r="G319" s="14">
        <v>2.8840759140094599E-14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3.3458718220343003E-7</v>
      </c>
      <c r="G321" s="14">
        <v>2.1680076422205099E-16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1.1906570109219701E-3</v>
      </c>
      <c r="G323" s="14">
        <v>1.33342426382308E-5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7.0341461758284397E-5</v>
      </c>
      <c r="G324" s="14">
        <v>1.8888363262034801E-6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1.41587722190281E-4</v>
      </c>
      <c r="G325" s="14">
        <v>7.5103172063159797E-5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4.5275752882312201E-5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2.64844426309791E-3</v>
      </c>
      <c r="G327" s="14">
        <v>2.8956320506306202E-19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8.5702494001175199E-4</v>
      </c>
      <c r="G328" s="14">
        <v>2.3697668471937101E-7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3.0429623121072802E-8</v>
      </c>
      <c r="G329" s="14">
        <v>1.58262105156779E-12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7.1639230604573405E-4</v>
      </c>
      <c r="G330" s="14">
        <v>9.8713327196094004E-8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7.9649753767762199E-7</v>
      </c>
      <c r="G331" s="14">
        <v>4.0738929979405901E-16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2.7666374606618699E-12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3.57341843491278E-12</v>
      </c>
      <c r="G333" s="14">
        <v>5.0170004494294097E-93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1.30570883438485E-5</v>
      </c>
      <c r="G334" s="14">
        <v>7.4691883853996699E-14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1.2392545756537501E-5</v>
      </c>
      <c r="G335" s="14">
        <v>1.7398860156616501E-86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1.16680774952925E-5</v>
      </c>
      <c r="G336" s="14">
        <v>1.02751726991426E-15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6.2797269982580504E-12</v>
      </c>
      <c r="G337" s="14">
        <v>1.9008712174986801E-23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3.64272523218951E-12</v>
      </c>
      <c r="G338" s="14">
        <v>2.4226718650381201E-23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2.0651328302105802E-9</v>
      </c>
      <c r="G339" s="14">
        <v>1.12377319332749E-11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1.88654111076637E-13</v>
      </c>
      <c r="G340" s="14">
        <v>6.6966217320100805E-22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2.5966660957821001E-11</v>
      </c>
      <c r="G341" s="14">
        <v>2.4482109251919701E-19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3.8797844855029598E-12</v>
      </c>
      <c r="G342" s="14">
        <v>5.4471316085692504E-93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2.0015857006396601E-13</v>
      </c>
      <c r="G343" s="14">
        <v>2.8101820546872898E-94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2.5864993721767001E-12</v>
      </c>
      <c r="G344" s="14">
        <v>3.63138791300721E-93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2.7636657717271199E-11</v>
      </c>
      <c r="G345" s="14">
        <v>3.88012561959204E-92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6.05749755030118E-10</v>
      </c>
      <c r="G346" s="14">
        <v>2.1502192295436401E-18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6.9866532621225204E-7</v>
      </c>
      <c r="G347" s="14">
        <v>2.1148575561160401E-18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7.0144674186900799E-13</v>
      </c>
      <c r="G348" s="14">
        <v>2.1232768918089801E-24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2.5195141636807799E-10</v>
      </c>
      <c r="G349" s="14">
        <v>1.6756564629074699E-21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2.1574683691385001E-6</v>
      </c>
      <c r="G350" s="14">
        <v>1.17401897021926E-8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4.8507252191365102E-13</v>
      </c>
      <c r="G351" s="14">
        <v>2.6395953275835299E-15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4.1033899620972997E-6</v>
      </c>
      <c r="G352" s="14">
        <v>3.86879320057664E-14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1.33833721776657E-10</v>
      </c>
      <c r="G353" s="14">
        <v>1.8789958537802299E-91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7.6262273363353903E-7</v>
      </c>
      <c r="G354" s="14">
        <v>1.07070545111741E-87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1.9306683436430901E-8</v>
      </c>
      <c r="G356" s="14">
        <v>2.7106156539411599E-89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3.7482204129166298E-4</v>
      </c>
      <c r="G357" s="14">
        <v>5.2624185604567005E-85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3.9965971305559703E-15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4.8714019992187598E-14</v>
      </c>
      <c r="G360" s="14">
        <v>9.5320546530786205E-30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7.8575511889209208E-6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2.0672000410933101E-9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9.1928760611529707E-6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3.5262002112996998E-10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3.4104405849574901E-2</v>
      </c>
      <c r="G367" s="14">
        <v>4.7881831526683802E-83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1.30665332716913E-3</v>
      </c>
      <c r="G368" s="14">
        <v>1.83451237213309E-84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1.0210974130940899E-4</v>
      </c>
      <c r="G372" s="14">
        <v>1.4335981844033001E-85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5.1869118368242399E-3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2.0608981125911301E-4</v>
      </c>
      <c r="G376" s="14">
        <v>2.8934553692563099E-85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1.26984385695999E-2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2.0282327623910098E-6</v>
      </c>
      <c r="G378" s="14">
        <v>2.8475939400339201E-87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1.3126017765600199E-19</v>
      </c>
      <c r="G380" s="14">
        <v>5.2194839335490201E-96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1.0656368275237801E-4</v>
      </c>
      <c r="G381" s="14">
        <v>1.49613053718569E-85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7.9358241778174597E-3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2.4914782246774902E-9</v>
      </c>
      <c r="G384" s="14">
        <v>2.1022706899867998E-9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2.5041454254363701E-2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2.3330739725521899E-2</v>
      </c>
      <c r="G387" s="14">
        <v>0.16817686465678999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/>
      <c r="G388" s="14"/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/>
      <c r="G389" s="14">
        <v>-135213309.170486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/>
      <c r="G390" s="14">
        <v>-6467434.3985699899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/>
      <c r="G391" s="14">
        <v>-56359.758347601201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/>
      <c r="G392" s="14">
        <v>-2695.7630285697501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/>
      <c r="G393" s="14">
        <v>3.7154849870865099E-2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/>
      <c r="G394" s="14">
        <v>0.77678873772312296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/>
      <c r="G395" s="14">
        <v>-0.23469222557509101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/>
      <c r="G396" s="14">
        <v>20.9067925297214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/>
      <c r="G397" s="14">
        <v>6.2485861580758304E-6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/>
      <c r="G398" s="14"/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/>
      <c r="G399" s="14">
        <v>3.1353094658635402E-3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/>
      <c r="G400" s="14"/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/>
      <c r="G401" s="14"/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-45941569.250403002</v>
      </c>
      <c r="G402" s="14"/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-1934386.0620957599</v>
      </c>
      <c r="G403" s="14"/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1.0648184860988899E+38</v>
      </c>
      <c r="G404" s="14"/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4.4834559893783702E+36</v>
      </c>
      <c r="G405" s="14"/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28.385712902848699</v>
      </c>
      <c r="G406" s="14"/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674.159218059816</v>
      </c>
      <c r="G407" s="14"/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-8.4514580373844002</v>
      </c>
      <c r="G408" s="14"/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23.749948446500301</v>
      </c>
      <c r="G409" s="14"/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6.6225967965421496E-4</v>
      </c>
      <c r="G410" s="14"/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/>
      <c r="G411" s="14"/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0.37748719799806602</v>
      </c>
      <c r="G412" s="14"/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3.3105905615747301E-14</v>
      </c>
      <c r="G413" s="14">
        <v>2.8431766034866701E-93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1.13430455901719E-3</v>
      </c>
      <c r="G414" s="14">
        <v>3.9684504741835298E-10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1.8177661739485701E-12</v>
      </c>
      <c r="G415" s="14">
        <v>1.5611203379743001E-91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1.1705998586745001E-4</v>
      </c>
      <c r="G416" s="14">
        <v>6.3041971587055298E-13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2.6121172235562499E-5</v>
      </c>
      <c r="G417" s="14">
        <v>2.2433189600006202E-84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1.0943278500290901E-3</v>
      </c>
      <c r="G418" s="14">
        <v>5.8948859119493701E-12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5.1344354971755998E-9</v>
      </c>
      <c r="G419" s="14">
        <v>4.2408646391583099E-5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3.9465486280729098E-4</v>
      </c>
      <c r="G420" s="14">
        <v>0.124547321681294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6.5338911742507295E-10</v>
      </c>
      <c r="G423" s="14">
        <v>1.12682473137065E-8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2.6866338028165902E-10</v>
      </c>
      <c r="G425" s="14">
        <v>2.17366541213164E-8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4.5559237352763201E-10</v>
      </c>
      <c r="G427" s="14">
        <v>2.6456766513843502E-15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1.0272874860295299E-8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4.8617237782534197E-18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1.86256181176928E-3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5.3248685797681501E-3</v>
      </c>
      <c r="G431" s="14">
        <v>4.5730637724759297E-82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3.2271930591578498E-3</v>
      </c>
      <c r="G432" s="14">
        <v>4.9699903035329097E-10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3.2271930786473602E-5</v>
      </c>
      <c r="G434" s="14">
        <v>1.54817959606947E-21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3.2271930786473602E-5</v>
      </c>
      <c r="G435" s="14">
        <v>1.4377543932293001E-20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3.0572950670682301E-6</v>
      </c>
      <c r="G436" s="14">
        <v>1.7715387487623199E-12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3.2271930786473101E-5</v>
      </c>
      <c r="G438" s="14">
        <v>1.40143853162099E-17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9.1681282883029002E-4</v>
      </c>
      <c r="G439" s="14">
        <v>5.9116895682014397E-12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1.1211819689253199E-6</v>
      </c>
      <c r="G441" s="14">
        <v>4.4439149782128703E-14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3.8872865551012E-3</v>
      </c>
      <c r="G443" s="14">
        <v>3.75416636483793E-3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2.2406846786186699E-4</v>
      </c>
      <c r="G444" s="14">
        <v>4.5827603392118203E-4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6.72901608047943E-5</v>
      </c>
      <c r="G445" s="14">
        <v>1.6800678483940401E-2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1.35384557288748E-4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8.8747809662802404E-3</v>
      </c>
      <c r="G447" s="14">
        <v>3.4531924758977399E-16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2.3591532872843002E-3</v>
      </c>
      <c r="G448" s="14">
        <v>3.9903082555193598E-5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2.5532025808686499E-5</v>
      </c>
      <c r="G449" s="14">
        <v>8.1227627176862003E-8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1.27168275238469E-3</v>
      </c>
      <c r="G450" s="14">
        <v>1.0718691852724101E-5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2.32705877611384E-4</v>
      </c>
      <c r="G451" s="14">
        <v>7.2806584912066195E-12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6.0455868576007203E-6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0</v>
      </c>
      <c r="G453" s="14">
        <v>0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1.9242714330997299E-8</v>
      </c>
      <c r="G454" s="14">
        <v>6.7333552838133996E-15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2.09143327860671E-8</v>
      </c>
      <c r="G455" s="14">
        <v>1.7961490721642101E-87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1.8621515954006701E-8</v>
      </c>
      <c r="G456" s="14">
        <v>1.0030971253587E-16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2.21037291701634E-12</v>
      </c>
      <c r="G457" s="14">
        <v>4.09275369137325E-22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1.0858597927698599E-19</v>
      </c>
      <c r="G458" s="14">
        <v>8.1725051622040199E-24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2.0563427570920199E-14</v>
      </c>
      <c r="G459" s="14">
        <v>6.8448559107881798E-15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1.6531809277000901E-16</v>
      </c>
      <c r="G460" s="14">
        <v>3.11616194459981E-21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8.0110039769897607E-12</v>
      </c>
      <c r="G461" s="14">
        <v>4.6201683299383601E-18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6.4819126130371101E-20</v>
      </c>
      <c r="G462" s="14">
        <v>1.2581867196825E-93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2.63962551697768E-20</v>
      </c>
      <c r="G463" s="14">
        <v>1.0027096660297901E-93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1.8325529137694001E-17</v>
      </c>
      <c r="G464" s="14">
        <v>1.1214220412450801E-93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4.0125650111857599E-12</v>
      </c>
      <c r="G465" s="14">
        <v>3.4460410454218202E-91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5.98908540879225E-8</v>
      </c>
      <c r="G466" s="14">
        <v>1.30043343829915E-14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1.7746731968395102E-5</v>
      </c>
      <c r="G467" s="14">
        <v>3.2860067282901701E-15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2.4431136541567698E-13</v>
      </c>
      <c r="G468" s="14">
        <v>4.5236993040937499E-23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2.0188199959213E-14</v>
      </c>
      <c r="G469" s="14">
        <v>8.2130394094334207E-24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2.8452233269134098E-6</v>
      </c>
      <c r="G470" s="14">
        <v>9.4707672831140803E-7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2.1701071511974999E-16</v>
      </c>
      <c r="G471" s="14">
        <v>1.3443508895770101E-16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1.57817217817897E-4</v>
      </c>
      <c r="G472" s="14">
        <v>9.10175695550229E-11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1.47499431332135E-14</v>
      </c>
      <c r="G473" s="14">
        <v>1.2667435745712899E-93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1.1775172162305801E-14</v>
      </c>
      <c r="G474" s="14">
        <v>1.01126652091858E-93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6.2355648886693895E-4</v>
      </c>
      <c r="G476" s="14">
        <v>5.3551811591448599E-83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0</v>
      </c>
      <c r="G477" s="14">
        <v>0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5.0514048208691598E-3</v>
      </c>
      <c r="G480" s="14">
        <v>6.0462048233456506E-17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2.5315961139437199E-2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5.6263175447404801E-9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1.4591518361862499E-20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1.14252500956419E-2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1.82905597446954E-17</v>
      </c>
      <c r="G487" s="14">
        <v>1.1552912060665199E-93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5.83517313649729E-3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1.8088640305756298E-2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6.7964887030693502E-6</v>
      </c>
      <c r="G498" s="14">
        <v>5.8369095504328201E-85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1.13870257085053E-2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7.0539018949021396E-10</v>
      </c>
      <c r="G504" s="14">
        <v>3.6408189427892003E-8</v>
      </c>
      <c r="K504" s="14"/>
    </row>
    <row r="505" spans="1:11" x14ac:dyDescent="0.25">
      <c r="A505" s="9" t="s">
        <v>332</v>
      </c>
      <c r="C505" s="9">
        <v>4.6782964533549602</v>
      </c>
      <c r="F505" s="14">
        <v>9.1844958902213697E-2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1.7630014641930699E-2</v>
      </c>
      <c r="G506" s="14">
        <v>0.392292801859561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-286688549.99792498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-8569763.4112334307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-17224.1206342603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-514.86757599221596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3.7154849870865099E-2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1.2429596388747699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-1.1607366502840599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33.453496466673499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1.4575580158513E-5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1.1702498863980801E-2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-226447728.206541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-10926850.258262901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7.7860846296385702E+37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3.7570428071870299E+36</v>
      </c>
      <c r="K524" s="14"/>
    </row>
    <row r="525" spans="1:11" x14ac:dyDescent="0.25">
      <c r="A525" s="9" t="s">
        <v>13</v>
      </c>
      <c r="B525" s="9" t="s">
        <v>12</v>
      </c>
      <c r="F525" s="9">
        <v>34.032691980822896</v>
      </c>
      <c r="K525" s="14"/>
    </row>
    <row r="526" spans="1:11" x14ac:dyDescent="0.25">
      <c r="A526" s="9" t="s">
        <v>11</v>
      </c>
      <c r="B526" s="9" t="s">
        <v>10</v>
      </c>
      <c r="F526" s="9">
        <v>705.29252269953702</v>
      </c>
    </row>
    <row r="527" spans="1:11" x14ac:dyDescent="0.25">
      <c r="A527" s="9" t="s">
        <v>9</v>
      </c>
      <c r="B527" s="9" t="s">
        <v>8</v>
      </c>
      <c r="F527" s="9">
        <v>-37.741090391230699</v>
      </c>
    </row>
    <row r="528" spans="1:11" x14ac:dyDescent="0.25">
      <c r="A528" s="9" t="s">
        <v>7</v>
      </c>
      <c r="F528" s="9">
        <v>20.723971030471599</v>
      </c>
    </row>
    <row r="529" spans="1:6" x14ac:dyDescent="0.25">
      <c r="A529" s="9" t="s">
        <v>6</v>
      </c>
      <c r="B529" s="9" t="s">
        <v>5</v>
      </c>
      <c r="F529" s="9">
        <v>5.9999685792610905E-4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0.298423620048831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W532"/>
  <sheetViews>
    <sheetView topLeftCell="F1" workbookViewId="0">
      <selection activeCell="F26" sqref="F26:G412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6" style="9" bestFit="1" customWidth="1"/>
    <col min="11" max="11" width="17.7109375" style="9" bestFit="1" customWidth="1"/>
    <col min="14" max="14" width="32" bestFit="1" customWidth="1"/>
    <col min="15" max="15" width="10.285156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313</v>
      </c>
      <c r="K1" s="9" t="s">
        <v>314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0.66225967965421495</v>
      </c>
      <c r="G26" s="5">
        <v>6.2485861580758003E-3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0.53472568413328403</v>
      </c>
      <c r="G27" s="18">
        <v>7.7790754710721196E-4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319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6.35264110611115E-6</v>
      </c>
      <c r="G28" s="18">
        <v>2.58898430194079E-13</v>
      </c>
      <c r="H28" s="17" t="s">
        <v>216</v>
      </c>
      <c r="I28" s="17">
        <v>92</v>
      </c>
      <c r="J28" s="17">
        <f>$W$27*3/I28</f>
        <v>0.39130434782608697</v>
      </c>
      <c r="K28" s="17">
        <f t="shared" si="0"/>
        <v>1.0130808138029179E-13</v>
      </c>
      <c r="N28" t="s">
        <v>307</v>
      </c>
      <c r="O28" s="5">
        <f>SUM(K27:K70)+SUM(K73:K83)+SUM(K86:K114)+SUM(K118:K123)+SUM(K126:K128)+K133+SUM(K135:K137)+K139+K142+K132+K138+K141</f>
        <v>6.7766111846412035E-3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8.1662307424687204E-14</v>
      </c>
      <c r="G29" s="18">
        <v>4.1737078538341099E-23</v>
      </c>
      <c r="H29" s="17" t="s">
        <v>225</v>
      </c>
      <c r="I29" s="17">
        <v>282</v>
      </c>
      <c r="J29" s="17">
        <f>$W$27*18/I29</f>
        <v>0.76595744680851063</v>
      </c>
      <c r="K29" s="17">
        <f t="shared" si="0"/>
        <v>3.1968826114474032E-23</v>
      </c>
      <c r="N29" t="s">
        <v>308</v>
      </c>
      <c r="O29" s="5">
        <f>SUM(K71:K72)+SUM(K84:K85)+SUM(K115:K117)+SUM(K124:K125)+SUM(K129:K131)+K134+SUM(K140)+K143</f>
        <v>3.7849466449752704E-4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2.1895201351657901E-7</v>
      </c>
      <c r="G30" s="18">
        <v>4.2024728831064202E-20</v>
      </c>
      <c r="H30" s="17" t="s">
        <v>185</v>
      </c>
      <c r="I30" s="17">
        <v>180</v>
      </c>
      <c r="J30" s="17">
        <f>$W$27*6/I30</f>
        <v>0.4</v>
      </c>
      <c r="K30" s="17">
        <f t="shared" si="0"/>
        <v>1.6809891532425681E-20</v>
      </c>
      <c r="N30" t="s">
        <v>309</v>
      </c>
      <c r="O30" s="5">
        <f>(O28/$F$26)*100</f>
        <v>1.023255890828122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1.9667154748253701E-14</v>
      </c>
      <c r="G31" s="18">
        <v>3.5657581780868199E-17</v>
      </c>
      <c r="H31" s="17" t="s">
        <v>271</v>
      </c>
      <c r="I31" s="17">
        <v>60</v>
      </c>
      <c r="J31" s="17">
        <f>$W$27*2/I31</f>
        <v>0.4</v>
      </c>
      <c r="K31" s="17">
        <f t="shared" si="0"/>
        <v>1.4263032712347282E-17</v>
      </c>
      <c r="N31" t="s">
        <v>310</v>
      </c>
      <c r="O31" s="5">
        <f>(O29/$F$26)*100</f>
        <v>5.7152001869591414E-2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3.9780396404284598E-13</v>
      </c>
      <c r="G32" s="18">
        <v>4.5791703187811304E-16</v>
      </c>
      <c r="H32" s="17" t="s">
        <v>270</v>
      </c>
      <c r="I32" s="17">
        <v>74</v>
      </c>
      <c r="J32" s="17">
        <f t="shared" ref="J32" si="1">$W$27*3/I32</f>
        <v>0.48648648648648651</v>
      </c>
      <c r="K32" s="17">
        <f t="shared" si="0"/>
        <v>2.2277044794070364E-16</v>
      </c>
      <c r="N32" t="s">
        <v>311</v>
      </c>
      <c r="O32" s="5">
        <f>O28/$F$506</f>
        <v>0.38437921478090631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1.90330653561422E-10</v>
      </c>
      <c r="G33" s="18">
        <v>1.78104780483242E-14</v>
      </c>
      <c r="H33" s="17" t="s">
        <v>269</v>
      </c>
      <c r="I33" s="17">
        <v>88</v>
      </c>
      <c r="J33" s="17">
        <f>$W$27*4/I33</f>
        <v>0.54545454545454541</v>
      </c>
      <c r="K33" s="17">
        <f t="shared" si="0"/>
        <v>9.7148062081768364E-15</v>
      </c>
      <c r="N33" t="s">
        <v>312</v>
      </c>
      <c r="O33" s="5">
        <f>O29/$F$506</f>
        <v>2.1468766316128103E-2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7.9156773262728702E-15</v>
      </c>
      <c r="G34" s="18">
        <v>4.0816293183969598E-18</v>
      </c>
      <c r="H34" s="17" t="s">
        <v>268</v>
      </c>
      <c r="I34" s="17">
        <v>102</v>
      </c>
      <c r="J34" s="17">
        <f>$W$27*5/I34</f>
        <v>0.58823529411764708</v>
      </c>
      <c r="K34" s="17">
        <f t="shared" si="0"/>
        <v>2.400958422586447E-18</v>
      </c>
      <c r="N34" t="s">
        <v>330</v>
      </c>
      <c r="O34">
        <f>-LOG(O38)</f>
        <v>12.341695837373958</v>
      </c>
      <c r="P34" s="5">
        <f>14-(-LOG(P38))</f>
        <v>12.819612969040593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8.0270660327562796E-15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1.1637659386684301E-3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8.0270660327562796E-15</v>
      </c>
      <c r="P36" s="5">
        <f>F36</f>
        <v>1.1637659386684301E-3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2.6135459051748501E-2</v>
      </c>
      <c r="G37" s="18">
        <v>1.1086893085867501E-3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1.7630014641930699E-2</v>
      </c>
      <c r="P37" s="5">
        <f>$F$506</f>
        <v>1.7630014641930699E-2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5.5940443109653903E-15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2">F38*J38</f>
        <v>0</v>
      </c>
      <c r="N38" t="s">
        <v>329</v>
      </c>
      <c r="O38" s="2">
        <f>O36/O37</f>
        <v>4.5530682735027043E-13</v>
      </c>
      <c r="P38">
        <f>P36/P37</f>
        <v>6.6010491897185608E-2</v>
      </c>
      <c r="Q38">
        <f>P38*O38</f>
        <v>3.0055027637538311E-14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6.5338637182302695E-4</v>
      </c>
      <c r="G39" s="18">
        <v>8.8532004324568404E-4</v>
      </c>
      <c r="H39" s="17" t="s">
        <v>130</v>
      </c>
      <c r="I39" s="17">
        <v>14</v>
      </c>
      <c r="J39" s="17">
        <f>$W$27/I39</f>
        <v>0.8571428571428571</v>
      </c>
      <c r="K39" s="18">
        <f t="shared" si="2"/>
        <v>5.6004546156259447E-4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1.6895925185206101E-4</v>
      </c>
      <c r="G40" s="18">
        <v>2.92421245727879E-9</v>
      </c>
      <c r="H40" s="17" t="s">
        <v>129</v>
      </c>
      <c r="I40" s="17">
        <v>113</v>
      </c>
      <c r="J40" s="17">
        <f t="shared" ref="J40:J58" si="3">$W$27*5/I40</f>
        <v>0.53097345132743368</v>
      </c>
      <c r="K40" s="18">
        <f t="shared" si="2"/>
        <v>8.9712877089589919E-5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5.4122224655417697E-14</v>
      </c>
      <c r="G41" s="18">
        <v>1.92505761025934E-22</v>
      </c>
      <c r="H41" s="17" t="s">
        <v>267</v>
      </c>
      <c r="I41" s="17">
        <v>174</v>
      </c>
      <c r="J41" s="17">
        <f>$W$27*6/I41</f>
        <v>0.41379310344827586</v>
      </c>
      <c r="K41" s="18">
        <f t="shared" si="2"/>
        <v>2.2395403305690081E-14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f t="shared" ref="J42:J43" si="4">$W$27*6/I42</f>
        <v>0.46451612903225808</v>
      </c>
      <c r="K42" s="18">
        <f t="shared" si="2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5.2631880110024602E-12</v>
      </c>
      <c r="G43" s="18">
        <v>1.86794664689158E-20</v>
      </c>
      <c r="H43" s="17" t="s">
        <v>208</v>
      </c>
      <c r="I43" s="17">
        <v>146</v>
      </c>
      <c r="J43" s="17">
        <f t="shared" si="4"/>
        <v>0.49315068493150682</v>
      </c>
      <c r="K43" s="18">
        <f>F43*J43</f>
        <v>2.5955447725491584E-12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7.2345352833462101E-12</v>
      </c>
      <c r="G44" s="18">
        <v>1.01571275318186E-92</v>
      </c>
      <c r="H44" s="17" t="s">
        <v>207</v>
      </c>
      <c r="I44" s="17">
        <v>181</v>
      </c>
      <c r="J44" s="17">
        <f>$W$27*9/I44</f>
        <v>0.59668508287292821</v>
      </c>
      <c r="K44" s="18">
        <f t="shared" si="2"/>
        <v>4.3167392850905566E-12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5.2584109510737299E-12</v>
      </c>
      <c r="G45" s="18">
        <v>7.3826926751905302E-93</v>
      </c>
      <c r="H45" s="17" t="s">
        <v>206</v>
      </c>
      <c r="I45" s="17">
        <v>204</v>
      </c>
      <c r="J45" s="17">
        <f>$W$27*11/I45</f>
        <v>0.6470588235294118</v>
      </c>
      <c r="K45" s="18">
        <f t="shared" si="2"/>
        <v>3.402501203635943E-12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4.3002766363861999E-11</v>
      </c>
      <c r="G46" s="18">
        <v>4.05373363048032E-19</v>
      </c>
      <c r="H46" s="17" t="s">
        <v>205</v>
      </c>
      <c r="I46" s="17">
        <v>165</v>
      </c>
      <c r="J46" s="17">
        <f>$W$27*9/I46</f>
        <v>0.65454545454545454</v>
      </c>
      <c r="K46" s="18">
        <f t="shared" si="2"/>
        <v>2.8147265256346037E-11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5.1968779514125503E-6</v>
      </c>
      <c r="G47" s="18">
        <v>4.5764881548544801E-16</v>
      </c>
      <c r="H47" s="17" t="s">
        <v>266</v>
      </c>
      <c r="I47" s="17">
        <v>121</v>
      </c>
      <c r="J47" s="17">
        <f t="shared" ref="J47" si="5">$W$27*3/I47</f>
        <v>0.2975206611570248</v>
      </c>
      <c r="K47" s="18">
        <f t="shared" si="2"/>
        <v>1.5461785640566266E-6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5.2265477650050201E-12</v>
      </c>
      <c r="G48" s="18">
        <v>7.3379574666671701E-93</v>
      </c>
      <c r="H48" s="17" t="s">
        <v>203</v>
      </c>
      <c r="I48" s="17">
        <v>149</v>
      </c>
      <c r="J48" s="17">
        <f t="shared" si="3"/>
        <v>0.40268456375838924</v>
      </c>
      <c r="K48" s="18">
        <f t="shared" si="2"/>
        <v>2.104650106713431E-12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5.3033128871002403E-12</v>
      </c>
      <c r="G49" s="18">
        <v>7.4457340002769699E-93</v>
      </c>
      <c r="H49" s="17" t="s">
        <v>202</v>
      </c>
      <c r="I49" s="17">
        <v>119</v>
      </c>
      <c r="J49" s="17">
        <f>$W$27*4/I49</f>
        <v>0.40336134453781514</v>
      </c>
      <c r="K49" s="18">
        <f t="shared" si="2"/>
        <v>2.1391514166454753E-12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2.1128255606389899E-14</v>
      </c>
      <c r="G50" s="18">
        <v>2.9663603578377E-95</v>
      </c>
      <c r="H50" s="17" t="s">
        <v>201</v>
      </c>
      <c r="I50" s="17">
        <v>105</v>
      </c>
      <c r="J50" s="17">
        <f>$W$27*3/I50</f>
        <v>0.34285714285714286</v>
      </c>
      <c r="K50" s="18">
        <f t="shared" si="2"/>
        <v>7.2439733507622513E-15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5.4295739795658496E-6</v>
      </c>
      <c r="G51" s="18">
        <v>7.6230017815859001E-87</v>
      </c>
      <c r="H51" s="17" t="s">
        <v>200</v>
      </c>
      <c r="I51" s="17">
        <v>131</v>
      </c>
      <c r="J51" s="17">
        <f>$W$27*6/I51</f>
        <v>0.54961832061068705</v>
      </c>
      <c r="K51" s="18">
        <f t="shared" si="2"/>
        <v>2.9841933322804671E-6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9.6747858607654796E-14</v>
      </c>
      <c r="G52" s="18">
        <v>1.3583185371566601E-94</v>
      </c>
      <c r="H52" s="17" t="s">
        <v>200</v>
      </c>
      <c r="I52" s="17">
        <v>131</v>
      </c>
      <c r="J52" s="17">
        <f>$W$27*6/I52</f>
        <v>0.54961832061068705</v>
      </c>
      <c r="K52" s="18">
        <f t="shared" si="2"/>
        <v>5.3174395570619431E-14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2.0879903836858699E-14</v>
      </c>
      <c r="G53" s="18">
        <v>2.9314923186743799E-95</v>
      </c>
      <c r="H53" s="17" t="s">
        <v>198</v>
      </c>
      <c r="I53" s="17">
        <v>117</v>
      </c>
      <c r="J53" s="17">
        <f t="shared" si="3"/>
        <v>0.51282051282051277</v>
      </c>
      <c r="K53" s="18">
        <f t="shared" si="2"/>
        <v>1.0707642993260871E-14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9.9568694715360798E-14</v>
      </c>
      <c r="G54" s="18">
        <v>5.6947671826894795E-22</v>
      </c>
      <c r="H54" s="17" t="s">
        <v>197</v>
      </c>
      <c r="I54" s="17">
        <v>147</v>
      </c>
      <c r="J54" s="17">
        <f t="shared" si="3"/>
        <v>0.40816326530612246</v>
      </c>
      <c r="K54" s="18">
        <f t="shared" si="2"/>
        <v>4.0640283557290121E-14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2.6291311863812401E-11</v>
      </c>
      <c r="G55" s="18">
        <v>3.6912420372638203E-92</v>
      </c>
      <c r="H55" s="17" t="s">
        <v>196</v>
      </c>
      <c r="I55" s="17">
        <v>133</v>
      </c>
      <c r="J55" s="17">
        <f>$W$27*4/I55</f>
        <v>0.36090225563909772</v>
      </c>
      <c r="K55" s="18">
        <f t="shared" si="2"/>
        <v>9.4885937553608657E-12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1.9390096548625701E-5</v>
      </c>
      <c r="G56" s="18">
        <v>1.7071165150197301E-15</v>
      </c>
      <c r="H56" s="17" t="s">
        <v>265</v>
      </c>
      <c r="I56" s="17">
        <v>75</v>
      </c>
      <c r="J56" s="17">
        <f>$W$27*2/I56</f>
        <v>0.32</v>
      </c>
      <c r="K56" s="18">
        <f t="shared" si="2"/>
        <v>6.2048308955602244E-6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3.6455711005656402E-6</v>
      </c>
      <c r="G57" s="18">
        <v>5.1183011962076599E-87</v>
      </c>
      <c r="H57" s="17" t="s">
        <v>194</v>
      </c>
      <c r="I57" s="17">
        <v>89</v>
      </c>
      <c r="J57" s="17">
        <f>$W$27*3/I57</f>
        <v>0.4044943820224719</v>
      </c>
      <c r="K57" s="18">
        <f t="shared" si="2"/>
        <v>1.4746130294422814E-6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1.1875121969441099E-13</v>
      </c>
      <c r="G58" s="18">
        <v>1.04575007415419E-23</v>
      </c>
      <c r="H58" s="17" t="s">
        <v>264</v>
      </c>
      <c r="I58" s="17">
        <v>115</v>
      </c>
      <c r="J58" s="17">
        <f t="shared" si="3"/>
        <v>0.52173913043478259</v>
      </c>
      <c r="K58" s="18">
        <f t="shared" si="2"/>
        <v>6.1957158101431826E-14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7.5642838067885594E-8</v>
      </c>
      <c r="G59" s="18">
        <v>1.02138951686651E-5</v>
      </c>
      <c r="H59" s="17" t="s">
        <v>192</v>
      </c>
      <c r="I59" s="17">
        <v>2</v>
      </c>
      <c r="J59" s="17">
        <v>0</v>
      </c>
      <c r="K59" s="18">
        <f t="shared" si="2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6.6427612955408403E-4</v>
      </c>
      <c r="G60" s="18">
        <v>3.4271053391886201E-3</v>
      </c>
      <c r="H60" s="17" t="s">
        <v>191</v>
      </c>
      <c r="I60" s="17">
        <v>16</v>
      </c>
      <c r="J60" s="17">
        <f>$W$27/I60</f>
        <v>0.75</v>
      </c>
      <c r="K60" s="18">
        <f t="shared" si="2"/>
        <v>4.98207097165563E-4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f>$W$27*8/I61</f>
        <v>0.82051282051282048</v>
      </c>
      <c r="K61" s="18">
        <f t="shared" si="2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f>$W$27/I62</f>
        <v>0.26666666666666666</v>
      </c>
      <c r="K62" s="18">
        <f t="shared" si="2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2.48975021084547E-10</v>
      </c>
      <c r="G63" s="18">
        <v>7.2063429740885502E-11</v>
      </c>
      <c r="H63" s="17" t="s">
        <v>106</v>
      </c>
      <c r="I63" s="17">
        <v>34</v>
      </c>
      <c r="J63" s="17">
        <v>0</v>
      </c>
      <c r="K63" s="18">
        <f t="shared" si="2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f>$W$27/I64</f>
        <v>0.25</v>
      </c>
      <c r="K64" s="18">
        <f t="shared" si="2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1.23119978018979E-10</v>
      </c>
      <c r="G65" s="18">
        <v>5.5331926944759398E-11</v>
      </c>
      <c r="H65" s="17" t="s">
        <v>188</v>
      </c>
      <c r="I65" s="17">
        <v>78</v>
      </c>
      <c r="J65" s="17">
        <f>$W$27*6/I65</f>
        <v>0.92307692307692313</v>
      </c>
      <c r="K65" s="18">
        <f t="shared" si="2"/>
        <v>1.1364921047905754E-10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f>$W$27*6/I66</f>
        <v>0.76595744680851063</v>
      </c>
      <c r="K66" s="18">
        <f t="shared" si="2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7.7173063964083304E-13</v>
      </c>
      <c r="G67" s="18">
        <v>7.3263546002866501E-20</v>
      </c>
      <c r="H67" s="17" t="s">
        <v>102</v>
      </c>
      <c r="I67" s="17">
        <v>62</v>
      </c>
      <c r="J67" s="17">
        <f>$W$27/I67</f>
        <v>0.19354838709677419</v>
      </c>
      <c r="K67" s="18">
        <f t="shared" si="2"/>
        <v>1.493672205756451E-13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1.7124687078822101E-2</v>
      </c>
      <c r="G68" s="18">
        <v>0</v>
      </c>
      <c r="H68" s="17" t="s">
        <v>101</v>
      </c>
      <c r="I68" s="17">
        <v>61</v>
      </c>
      <c r="J68" s="17">
        <f t="shared" ref="J68:J69" si="6">$W$27/I68</f>
        <v>0.19672131147540983</v>
      </c>
      <c r="K68" s="18">
        <f t="shared" si="2"/>
        <v>3.3687909007518889E-3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7.1455032372172997E-3</v>
      </c>
      <c r="G69" s="18">
        <v>0</v>
      </c>
      <c r="H69" s="17" t="s">
        <v>272</v>
      </c>
      <c r="I69" s="17">
        <v>60</v>
      </c>
      <c r="J69" s="17">
        <f t="shared" si="6"/>
        <v>0.2</v>
      </c>
      <c r="K69" s="18">
        <f t="shared" si="2"/>
        <v>1.4291006474434599E-3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3.2949339436926599E-3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2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4.0835153797166499E-4</v>
      </c>
      <c r="G71" s="22">
        <v>5.73316527813523E-85</v>
      </c>
      <c r="H71" s="20" t="s">
        <v>219</v>
      </c>
      <c r="I71" s="20">
        <v>162</v>
      </c>
      <c r="J71" s="17">
        <f>$W$27*6/I71</f>
        <v>0.44444444444444442</v>
      </c>
      <c r="K71" s="22">
        <f t="shared" si="2"/>
        <v>1.8148957243185109E-4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3.0373237784491299E-4</v>
      </c>
      <c r="G72" s="22">
        <v>7.6468673657755001E-13</v>
      </c>
      <c r="H72" s="20" t="s">
        <v>186</v>
      </c>
      <c r="I72" s="20">
        <v>132</v>
      </c>
      <c r="J72" s="17">
        <f>$W$27*5/I72</f>
        <v>0.45454545454545453</v>
      </c>
      <c r="K72" s="22">
        <f t="shared" si="2"/>
        <v>1.3806017174768773E-4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f>$W$27*6/I73</f>
        <v>0.4</v>
      </c>
      <c r="K73" s="18">
        <f t="shared" si="2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4.5320747187515302E-7</v>
      </c>
      <c r="G74" s="18">
        <v>3.5543101686003801E-25</v>
      </c>
      <c r="H74" s="17" t="s">
        <v>184</v>
      </c>
      <c r="I74" s="17">
        <v>884</v>
      </c>
      <c r="J74" s="17">
        <f>$W$27*57/I74</f>
        <v>0.77375565610859731</v>
      </c>
      <c r="K74" s="18">
        <f t="shared" si="2"/>
        <v>3.5067184475407767E-7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4.9756665137482802E-7</v>
      </c>
      <c r="G75" s="18">
        <v>3.6238723497554302E-24</v>
      </c>
      <c r="H75" s="17" t="s">
        <v>183</v>
      </c>
      <c r="I75" s="17">
        <v>806</v>
      </c>
      <c r="J75" s="17">
        <f>$W$27*51/I75</f>
        <v>0.75930521091811409</v>
      </c>
      <c r="K75" s="18">
        <f t="shared" si="2"/>
        <v>3.7780495116798354E-7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1.4841352752231199E-7</v>
      </c>
      <c r="G76" s="18">
        <v>1.40588132104923E-15</v>
      </c>
      <c r="H76" s="17" t="s">
        <v>182</v>
      </c>
      <c r="I76" s="17">
        <v>242</v>
      </c>
      <c r="J76" s="17">
        <f>$W$27*16/I76</f>
        <v>0.79338842975206614</v>
      </c>
      <c r="K76" s="18">
        <f t="shared" si="2"/>
        <v>1.1774957555489216E-7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f>$W$27*37/I77</f>
        <v>0.74747474747474751</v>
      </c>
      <c r="K77" s="18">
        <f t="shared" si="2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6.7708201503710304E-7</v>
      </c>
      <c r="G78" s="18">
        <v>4.8067579719689197E-21</v>
      </c>
      <c r="H78" s="17" t="s">
        <v>274</v>
      </c>
      <c r="I78" s="17">
        <v>592</v>
      </c>
      <c r="J78" s="17">
        <f>$W$27*37/I78</f>
        <v>0.75</v>
      </c>
      <c r="K78" s="18">
        <f t="shared" si="2"/>
        <v>5.078115112778273E-7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7.5933094644395504E-5</v>
      </c>
      <c r="G79" s="18">
        <v>8.0043102076177293E-15</v>
      </c>
      <c r="H79" s="17" t="s">
        <v>179</v>
      </c>
      <c r="I79" s="17">
        <v>150</v>
      </c>
      <c r="J79" s="17">
        <f>$W$27*5/I79</f>
        <v>0.4</v>
      </c>
      <c r="K79" s="18">
        <f t="shared" si="2"/>
        <v>3.0373237857758204E-5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f>$W$27*5/I80</f>
        <v>0.625</v>
      </c>
      <c r="K80" s="18">
        <f t="shared" si="2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4.9709712416696899E-8</v>
      </c>
      <c r="G81" s="18">
        <v>3.22101509395113E-17</v>
      </c>
      <c r="H81" s="17" t="s">
        <v>177</v>
      </c>
      <c r="I81" s="17">
        <v>280</v>
      </c>
      <c r="J81" s="17">
        <f>$W$27*18/I81</f>
        <v>0.77142857142857146</v>
      </c>
      <c r="K81" s="18">
        <f t="shared" si="2"/>
        <v>3.8347492435737608E-8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f t="shared" ref="J82" si="7">$W$27*6/I82</f>
        <v>0.44444444444444442</v>
      </c>
      <c r="K82" s="18">
        <f t="shared" si="2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1.07687741677307E-3</v>
      </c>
      <c r="G83" s="18">
        <v>1.2060017818031701E-5</v>
      </c>
      <c r="H83" s="17" t="s">
        <v>276</v>
      </c>
      <c r="I83" s="17">
        <v>62</v>
      </c>
      <c r="J83" s="17">
        <f>$W$27*2/I83</f>
        <v>0.38709677419354838</v>
      </c>
      <c r="K83" s="18">
        <f t="shared" si="2"/>
        <v>4.1685577423473675E-4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7.9769589024237098E-6</v>
      </c>
      <c r="G84" s="22">
        <v>2.14200407141179E-7</v>
      </c>
      <c r="H84" s="20" t="s">
        <v>174</v>
      </c>
      <c r="I84" s="20">
        <v>367</v>
      </c>
      <c r="J84" s="17">
        <f>$W$27*13/I84</f>
        <v>0.42506811989100818</v>
      </c>
      <c r="K84" s="22">
        <f>F84*J84</f>
        <v>3.3907509231010864E-6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5.0685110985060802E-5</v>
      </c>
      <c r="G85" s="22">
        <v>2.68851885775492E-5</v>
      </c>
      <c r="H85" s="20" t="s">
        <v>275</v>
      </c>
      <c r="I85" s="20">
        <f>W27*4.89+W28*8+W26*1+W29*2.1+W30*0.067</f>
        <v>116.42400000000001</v>
      </c>
      <c r="J85" s="17">
        <f>$W$27*(4.89)/I85</f>
        <v>0.50401978973407535</v>
      </c>
      <c r="K85" s="22">
        <f t="shared" si="2"/>
        <v>2.5546298981338618E-5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3.1950238708110398E-5</v>
      </c>
      <c r="G86" s="18">
        <v>0</v>
      </c>
      <c r="H86" s="17" t="s">
        <v>172</v>
      </c>
      <c r="I86" s="17">
        <v>59</v>
      </c>
      <c r="J86" s="17">
        <f>$W$27*2/I86</f>
        <v>0.40677966101694918</v>
      </c>
      <c r="K86" s="18">
        <f t="shared" si="2"/>
        <v>1.2996707271095756E-5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1.1035184429574599E-3</v>
      </c>
      <c r="G87" s="18">
        <v>1.2065133544294201E-19</v>
      </c>
      <c r="H87" s="6" t="s">
        <v>82</v>
      </c>
      <c r="I87" s="6" t="s">
        <v>289</v>
      </c>
      <c r="J87" s="6">
        <v>0</v>
      </c>
      <c r="K87" s="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4.8869083706355601E-4</v>
      </c>
      <c r="G88" s="18">
        <v>1.3512831309024399E-7</v>
      </c>
      <c r="H88" s="17" t="s">
        <v>81</v>
      </c>
      <c r="I88" s="17">
        <f>I32-1</f>
        <v>73</v>
      </c>
      <c r="J88" s="17">
        <f>$W$27*2/I88</f>
        <v>0.32876712328767121</v>
      </c>
      <c r="K88" s="18">
        <f t="shared" ref="K88:K143" si="8">F88*J88</f>
        <v>1.6066548067842937E-4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1.25379253747089E-8</v>
      </c>
      <c r="G89" s="18">
        <v>6.5208775547597697E-13</v>
      </c>
      <c r="H89" s="17" t="s">
        <v>80</v>
      </c>
      <c r="I89" s="17">
        <f>I34-1</f>
        <v>101</v>
      </c>
      <c r="J89" s="17">
        <f>$W$27*5/I89</f>
        <v>0.59405940594059403</v>
      </c>
      <c r="K89" s="18">
        <f t="shared" si="8"/>
        <v>7.4482724998270696E-9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3.4271222287454901E-4</v>
      </c>
      <c r="G90" s="18">
        <v>4.72230976033911E-8</v>
      </c>
      <c r="H90" s="17" t="s">
        <v>79</v>
      </c>
      <c r="I90" s="17">
        <f>I33-1</f>
        <v>87</v>
      </c>
      <c r="J90" s="17">
        <f>$W$27*4/I90</f>
        <v>0.55172413793103448</v>
      </c>
      <c r="K90" s="18">
        <f t="shared" si="8"/>
        <v>1.890826057238891E-4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1.1749414927152301E-7</v>
      </c>
      <c r="G91" s="18">
        <v>6.0095426460687199E-17</v>
      </c>
      <c r="H91" s="17" t="s">
        <v>78</v>
      </c>
      <c r="I91" s="17">
        <f>I29-1</f>
        <v>281</v>
      </c>
      <c r="J91" s="17">
        <f>$W$27*18/I91</f>
        <v>0.76868327402135228</v>
      </c>
      <c r="K91" s="18">
        <f t="shared" si="8"/>
        <v>9.0315787340387781E-8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1.1075112588095201E-12</v>
      </c>
      <c r="G92" s="18">
        <v>0</v>
      </c>
      <c r="H92" s="17" t="s">
        <v>77</v>
      </c>
      <c r="I92" s="17">
        <f>I50-1</f>
        <v>104</v>
      </c>
      <c r="J92" s="17">
        <f>$W$27*3/I92</f>
        <v>0.34615384615384615</v>
      </c>
      <c r="K92" s="18">
        <f t="shared" si="8"/>
        <v>3.8336928189560311E-13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1.2820088833181099E-12</v>
      </c>
      <c r="G93" s="18">
        <v>1.79991211802668E-93</v>
      </c>
      <c r="H93" s="17" t="s">
        <v>277</v>
      </c>
      <c r="I93" s="17">
        <f>I53-1</f>
        <v>116</v>
      </c>
      <c r="J93" s="17">
        <f>$W$27*5/I93</f>
        <v>0.51724137931034486</v>
      </c>
      <c r="K93" s="18">
        <f t="shared" si="8"/>
        <v>6.6310804309557419E-13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3.7232048952529099E-6</v>
      </c>
      <c r="G94" s="18">
        <v>2.1298254272123199E-14</v>
      </c>
      <c r="H94" s="17" t="s">
        <v>75</v>
      </c>
      <c r="I94" s="17">
        <f>I54-1</f>
        <v>146</v>
      </c>
      <c r="J94" s="17">
        <f>$W$27*5/I94</f>
        <v>0.41095890410958902</v>
      </c>
      <c r="K94" s="18">
        <f t="shared" si="8"/>
        <v>1.530084203528593E-6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3.9668793720939201E-6</v>
      </c>
      <c r="G95" s="18">
        <v>5.5694109030679797E-87</v>
      </c>
      <c r="H95" s="17" t="s">
        <v>278</v>
      </c>
      <c r="I95" s="17">
        <f>I52-1</f>
        <v>130</v>
      </c>
      <c r="J95" s="17">
        <f>$W$27*6/I95</f>
        <v>0.55384615384615388</v>
      </c>
      <c r="K95" s="18">
        <f t="shared" si="8"/>
        <v>2.1970408830058637E-6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4.2600122676777301E-6</v>
      </c>
      <c r="G96" s="18">
        <v>3.75146306394646E-16</v>
      </c>
      <c r="H96" s="17" t="s">
        <v>279</v>
      </c>
      <c r="I96" s="17">
        <f>I58-1</f>
        <v>114</v>
      </c>
      <c r="J96" s="17">
        <f>$W$27*5/I96</f>
        <v>0.52631578947368418</v>
      </c>
      <c r="K96" s="18">
        <f t="shared" si="8"/>
        <v>2.242111719830384E-6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1.45216140179267E-12</v>
      </c>
      <c r="G97" s="18">
        <v>4.3956876032921897E-24</v>
      </c>
      <c r="H97" s="17" t="s">
        <v>280</v>
      </c>
      <c r="I97" s="17">
        <f>I46-1</f>
        <v>164</v>
      </c>
      <c r="J97" s="17">
        <f>$W$27*9/I97</f>
        <v>0.65853658536585369</v>
      </c>
      <c r="K97" s="18">
        <f t="shared" si="8"/>
        <v>9.563014109366364E-13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7.4687410169251601E-13</v>
      </c>
      <c r="G98" s="18">
        <v>4.9672450090574E-24</v>
      </c>
      <c r="H98" s="17" t="s">
        <v>281</v>
      </c>
      <c r="I98" s="17">
        <f>I45-1</f>
        <v>203</v>
      </c>
      <c r="J98" s="17">
        <f>$W$27*11/I98</f>
        <v>0.65024630541871919</v>
      </c>
      <c r="K98" s="18">
        <f t="shared" si="8"/>
        <v>4.8565212523848335E-13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4.9682272118264697E-10</v>
      </c>
      <c r="G99" s="18">
        <v>2.7035358100628501E-12</v>
      </c>
      <c r="H99" s="17" t="s">
        <v>282</v>
      </c>
      <c r="I99" s="17">
        <f>I41-1</f>
        <v>173</v>
      </c>
      <c r="J99" s="17">
        <f>$W$27*6/I99</f>
        <v>0.41618497109826591</v>
      </c>
      <c r="K99" s="18">
        <f t="shared" si="8"/>
        <v>2.0677014985636176E-10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5.4143179134576602E-14</v>
      </c>
      <c r="G100" s="18">
        <v>1.9219108874093401E-22</v>
      </c>
      <c r="H100" s="17" t="s">
        <v>283</v>
      </c>
      <c r="I100" s="17">
        <f>I43-1</f>
        <v>145</v>
      </c>
      <c r="J100" s="17">
        <f>$W$27*6/I100</f>
        <v>0.49655172413793103</v>
      </c>
      <c r="K100" s="18">
        <f t="shared" si="8"/>
        <v>2.6884888949582863E-14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6.5898297152320603E-12</v>
      </c>
      <c r="G101" s="18">
        <v>6.2130795831593294E-20</v>
      </c>
      <c r="H101" s="17" t="s">
        <v>284</v>
      </c>
      <c r="I101" s="17">
        <f>I46-1</f>
        <v>164</v>
      </c>
      <c r="J101" s="17">
        <f>$W$27*9/I101</f>
        <v>0.65853658536585369</v>
      </c>
      <c r="K101" s="18">
        <f t="shared" si="8"/>
        <v>4.3396439588113566E-12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1.0907638850099801E-12</v>
      </c>
      <c r="G102" s="18">
        <v>1.53140837016194E-93</v>
      </c>
      <c r="H102" s="17" t="s">
        <v>285</v>
      </c>
      <c r="I102" s="17">
        <f>I48-1</f>
        <v>148</v>
      </c>
      <c r="J102" s="17">
        <f>$W$27*5/I102</f>
        <v>0.40540540540540543</v>
      </c>
      <c r="K102" s="18">
        <f t="shared" si="8"/>
        <v>4.4220157500404601E-13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7.0610166102136103E-14</v>
      </c>
      <c r="G103" s="18">
        <v>9.9135111524477202E-95</v>
      </c>
      <c r="H103" s="17" t="s">
        <v>287</v>
      </c>
      <c r="I103" s="17">
        <f>I49-1</f>
        <v>118</v>
      </c>
      <c r="J103" s="17">
        <f>$W$27*4/I103</f>
        <v>0.40677966101694918</v>
      </c>
      <c r="K103" s="18">
        <f t="shared" si="8"/>
        <v>2.8722779431377398E-14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8.1585228539149502E-13</v>
      </c>
      <c r="G104" s="18">
        <v>1.14543856450918E-93</v>
      </c>
      <c r="H104" s="17" t="s">
        <v>64</v>
      </c>
      <c r="I104" s="17">
        <f>I55-1</f>
        <v>132</v>
      </c>
      <c r="J104" s="17">
        <f t="shared" ref="J104:J114" si="9">$W$27*4/I104</f>
        <v>0.36363636363636365</v>
      </c>
      <c r="K104" s="18">
        <f t="shared" si="8"/>
        <v>2.9667355832417999E-13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8.6513410340304406E-12</v>
      </c>
      <c r="G105" s="18">
        <v>1.2146291470328999E-92</v>
      </c>
      <c r="H105" s="17" t="s">
        <v>64</v>
      </c>
      <c r="I105" s="17">
        <f>I104</f>
        <v>132</v>
      </c>
      <c r="J105" s="17">
        <f t="shared" si="9"/>
        <v>0.36363636363636365</v>
      </c>
      <c r="K105" s="18">
        <f t="shared" si="8"/>
        <v>3.1459421941928874E-12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1.72649769547341E-10</v>
      </c>
      <c r="G106" s="18">
        <v>6.1285184413902696E-19</v>
      </c>
      <c r="H106" s="17" t="s">
        <v>283</v>
      </c>
      <c r="I106" s="17">
        <f>I100</f>
        <v>145</v>
      </c>
      <c r="J106" s="17">
        <f>$W$27*6/I106</f>
        <v>0.49655172413793103</v>
      </c>
      <c r="K106" s="18">
        <f t="shared" si="8"/>
        <v>8.572954074074863E-11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1.60664769622709E-7</v>
      </c>
      <c r="G107" s="18">
        <v>4.8633170888890698E-19</v>
      </c>
      <c r="H107" s="17" t="s">
        <v>280</v>
      </c>
      <c r="I107" s="17">
        <f>I97</f>
        <v>164</v>
      </c>
      <c r="J107" s="17">
        <f>$W$27*9/I107</f>
        <v>0.65853658536585369</v>
      </c>
      <c r="K107" s="18">
        <f t="shared" si="8"/>
        <v>1.0580362877593033E-7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1.6130438273781899E-13</v>
      </c>
      <c r="G108" s="18">
        <v>4.8826781560371196E-25</v>
      </c>
      <c r="H108" s="17" t="s">
        <v>280</v>
      </c>
      <c r="I108" s="17">
        <f>I97</f>
        <v>164</v>
      </c>
      <c r="J108" s="17">
        <f>$W$27*9/I108</f>
        <v>0.65853658536585369</v>
      </c>
      <c r="K108" s="18">
        <f t="shared" si="8"/>
        <v>1.0622483741271007E-13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5.1403073507462602E-11</v>
      </c>
      <c r="G109" s="18">
        <v>3.4186706936488898E-22</v>
      </c>
      <c r="H109" s="17" t="s">
        <v>281</v>
      </c>
      <c r="I109" s="17">
        <f>I99</f>
        <v>173</v>
      </c>
      <c r="J109" s="17">
        <f>$W$27*11/I109</f>
        <v>0.76300578034682076</v>
      </c>
      <c r="K109" s="18">
        <f t="shared" si="8"/>
        <v>3.9220842213786493E-11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5.1603334422161797E-7</v>
      </c>
      <c r="G110" s="18">
        <v>2.8080733142974501E-9</v>
      </c>
      <c r="H110" s="17" t="s">
        <v>282</v>
      </c>
      <c r="I110" s="17">
        <f>I99</f>
        <v>173</v>
      </c>
      <c r="J110" s="17">
        <f>$W$27*6/I110</f>
        <v>0.41618497109826591</v>
      </c>
      <c r="K110" s="18">
        <f t="shared" si="8"/>
        <v>2.1476532245061558E-7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1.16021907553188E-13</v>
      </c>
      <c r="G111" s="18">
        <v>6.3135071817001296E-16</v>
      </c>
      <c r="H111" s="17" t="s">
        <v>282</v>
      </c>
      <c r="I111" s="17">
        <f>I99</f>
        <v>173</v>
      </c>
      <c r="J111" s="17">
        <f>$W$27*6/I111</f>
        <v>0.41618497109826591</v>
      </c>
      <c r="K111" s="18">
        <f t="shared" si="8"/>
        <v>4.8286574241789225E-14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1.0350059685382499E-6</v>
      </c>
      <c r="G112" s="18">
        <v>9.7583317467355798E-15</v>
      </c>
      <c r="H112" s="17" t="s">
        <v>284</v>
      </c>
      <c r="I112" s="17">
        <f>I101</f>
        <v>164</v>
      </c>
      <c r="J112" s="17">
        <f>$W$27*9/I112</f>
        <v>0.65853658536585369</v>
      </c>
      <c r="K112" s="18">
        <f t="shared" si="8"/>
        <v>6.8158929635445734E-7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3.7371892440752497E-11</v>
      </c>
      <c r="G113" s="18">
        <v>5.24693104337944E-92</v>
      </c>
      <c r="H113" s="17" t="s">
        <v>285</v>
      </c>
      <c r="I113" s="17">
        <f>I102</f>
        <v>148</v>
      </c>
      <c r="J113" s="17">
        <f>$W$27*5/I113</f>
        <v>0.40540540540540543</v>
      </c>
      <c r="K113" s="18">
        <f t="shared" si="8"/>
        <v>1.5150767205710471E-11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2.6675487351226898E-7</v>
      </c>
      <c r="G114" s="18">
        <v>3.7451794260170302E-88</v>
      </c>
      <c r="H114" s="17" t="s">
        <v>286</v>
      </c>
      <c r="I114" s="17">
        <f>I103</f>
        <v>118</v>
      </c>
      <c r="J114" s="17">
        <f t="shared" si="9"/>
        <v>0.40677966101694918</v>
      </c>
      <c r="K114" s="18">
        <f t="shared" si="8"/>
        <v>1.0851045702193993E-7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f>$W$27/I115</f>
        <v>0.15384615384615385</v>
      </c>
      <c r="K115" s="22">
        <f t="shared" si="8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1.5738734898678701E-8</v>
      </c>
      <c r="G116" s="22">
        <v>2.20968357046181E-89</v>
      </c>
      <c r="H116" s="20" t="s">
        <v>249</v>
      </c>
      <c r="I116" s="20">
        <f>I38+I70</f>
        <v>51</v>
      </c>
      <c r="J116" s="20">
        <v>0</v>
      </c>
      <c r="K116" s="22">
        <f t="shared" si="8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1.9755181355586099E-4</v>
      </c>
      <c r="G117" s="22">
        <v>2.77358376984904E-85</v>
      </c>
      <c r="H117" s="20" t="s">
        <v>250</v>
      </c>
      <c r="I117" s="20">
        <f>I38+I68</f>
        <v>79</v>
      </c>
      <c r="J117" s="20">
        <f>$W$27/I117</f>
        <v>0.15189873417721519</v>
      </c>
      <c r="K117" s="22">
        <f t="shared" si="8"/>
        <v>3.0007870413548504E-5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8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2.7738904212107399E-15</v>
      </c>
      <c r="G119" s="18">
        <v>0</v>
      </c>
      <c r="H119" s="17" t="s">
        <v>252</v>
      </c>
      <c r="I119" s="17">
        <f>W30+W32*2+W31*1+W33*2</f>
        <v>230</v>
      </c>
      <c r="J119" s="17">
        <f>$W$27/I119</f>
        <v>5.2173913043478258E-2</v>
      </c>
      <c r="K119" s="18">
        <f t="shared" si="8"/>
        <v>1.4472471762838642E-16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2.0712761923676501E-14</v>
      </c>
      <c r="G120" s="18">
        <v>4.0529436639462797E-30</v>
      </c>
      <c r="H120" s="17" t="s">
        <v>49</v>
      </c>
      <c r="I120" s="17">
        <f>W28*3+W33*1+W29*4</f>
        <v>98</v>
      </c>
      <c r="J120" s="17">
        <v>0</v>
      </c>
      <c r="K120" s="18">
        <f t="shared" si="8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3.3756616807645299E-6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8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8.9740546033934603E-10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8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4.0331090122134799E-6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8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v>0</v>
      </c>
      <c r="K124" s="22">
        <f t="shared" si="8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8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3.7578891062568599E-10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8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1.04420859879672E-2</v>
      </c>
      <c r="G127" s="18">
        <v>1.4660457779804E-83</v>
      </c>
      <c r="H127" s="17" t="s">
        <v>42</v>
      </c>
      <c r="I127" s="17">
        <f>I126+2+I123</f>
        <v>136</v>
      </c>
      <c r="J127" s="17">
        <v>0</v>
      </c>
      <c r="K127" s="18">
        <f t="shared" si="8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3.1257991853090602E-4</v>
      </c>
      <c r="G128" s="18">
        <v>4.38855292296726E-85</v>
      </c>
      <c r="H128" s="17" t="s">
        <v>41</v>
      </c>
      <c r="I128" s="17">
        <f>I127+2+I124</f>
        <v>270</v>
      </c>
      <c r="J128" s="17">
        <v>0</v>
      </c>
      <c r="K128" s="18">
        <f t="shared" si="8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f>$W$27/I129</f>
        <v>8.6956521739130432E-2</v>
      </c>
      <c r="K129" s="22">
        <f t="shared" si="8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f>$W$27/I130</f>
        <v>0.12</v>
      </c>
      <c r="K130" s="22">
        <f t="shared" si="8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8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7.2952604584913805E-5</v>
      </c>
      <c r="G132" s="22">
        <v>1.02423843346655E-85</v>
      </c>
      <c r="H132" s="20" t="s">
        <v>37</v>
      </c>
      <c r="I132" s="20">
        <f>W35+I36*2</f>
        <v>58</v>
      </c>
      <c r="J132" s="20">
        <v>0</v>
      </c>
      <c r="K132" s="22">
        <f t="shared" si="8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8.8924545663183006E-3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8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8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8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9.5558812934831494E-5</v>
      </c>
      <c r="G136" s="18">
        <v>1.3416245988910901E-85</v>
      </c>
      <c r="H136" s="17" t="s">
        <v>33</v>
      </c>
      <c r="I136" s="17">
        <f>I135+I36*2</f>
        <v>90</v>
      </c>
      <c r="J136" s="17">
        <v>0</v>
      </c>
      <c r="K136" s="18">
        <f t="shared" si="8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9.4743142659830405E-3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8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7.9077826701282604E-7</v>
      </c>
      <c r="G138" s="22">
        <v>1.1102351972668301E-87</v>
      </c>
      <c r="H138" s="20" t="s">
        <v>31</v>
      </c>
      <c r="I138" s="20">
        <f>I137+I36*3</f>
        <v>107</v>
      </c>
      <c r="J138" s="20">
        <v>0</v>
      </c>
      <c r="K138" s="22">
        <f t="shared" si="8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8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4.72065721903538E-20</v>
      </c>
      <c r="G140" s="22">
        <v>1.87714163964647E-96</v>
      </c>
      <c r="H140" s="20" t="s">
        <v>29</v>
      </c>
      <c r="I140" s="20">
        <f>I137+I69</f>
        <v>116</v>
      </c>
      <c r="J140" s="20">
        <f>$W$27/I140</f>
        <v>0.10344827586206896</v>
      </c>
      <c r="K140" s="22">
        <f t="shared" si="8"/>
        <v>4.8834385024503931E-21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5.99270190795601E-5</v>
      </c>
      <c r="G141" s="22">
        <v>8.41362093836223E-86</v>
      </c>
      <c r="H141" s="20" t="s">
        <v>28</v>
      </c>
      <c r="I141" s="20">
        <f>W32+I36*2</f>
        <v>74</v>
      </c>
      <c r="J141" s="20">
        <v>0</v>
      </c>
      <c r="K141" s="22">
        <f t="shared" si="8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8.2506216983447705E-3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8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f>$W$27/I143</f>
        <v>0.12</v>
      </c>
      <c r="K143" s="22">
        <f t="shared" si="8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2.84722354557944E-9</v>
      </c>
      <c r="G144" s="14">
        <v>2.4024430751293301E-9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2.9430134818814999E-2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0.80742600004348697</v>
      </c>
      <c r="G147" s="14">
        <v>0.12449336976842799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9.5923718463851692E-6</v>
      </c>
      <c r="G148" s="14">
        <v>4.1433121612554403E-11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1.2330859017013601E-13</v>
      </c>
      <c r="G149" s="14">
        <v>6.6794435545069999E-21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3.3061353460458298E-7</v>
      </c>
      <c r="G150" s="14">
        <v>6.7254780150147402E-18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2.9697043852227998E-14</v>
      </c>
      <c r="G151" s="14">
        <v>5.7065039800697298E-15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6.0067670773879902E-13</v>
      </c>
      <c r="G152" s="14">
        <v>7.3283302861446802E-14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2.8739580471031999E-10</v>
      </c>
      <c r="G153" s="14">
        <v>2.8503212723258299E-12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1.19525279425223E-14</v>
      </c>
      <c r="G154" s="14">
        <v>6.5320845630363505E-16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1.2120722851416E-14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1.75726527587497E-3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3.9464065010562897E-2</v>
      </c>
      <c r="G157" s="14">
        <v>0.17743042674603399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8.4469045645149397E-15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9.8660146751524801E-4</v>
      </c>
      <c r="G159" s="14">
        <v>0.14168325775607299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2.5512537912662802E-4</v>
      </c>
      <c r="G160" s="14">
        <v>4.6797985709126801E-7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8.1723569044210099E-14</v>
      </c>
      <c r="G161" s="14">
        <v>3.0807890962203598E-20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7.9473176047053393E-12</v>
      </c>
      <c r="G163" s="14">
        <v>2.98939087921098E-18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1.09240159194405E-11</v>
      </c>
      <c r="G164" s="14">
        <v>1.62550811893524E-90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7.9401043316109795E-12</v>
      </c>
      <c r="G165" s="14">
        <v>1.1814981002780899E-90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6.4933390458430198E-11</v>
      </c>
      <c r="G166" s="14">
        <v>6.4874413634213697E-17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7.8471906278908406E-6</v>
      </c>
      <c r="G167" s="14">
        <v>7.3240378528504905E-14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7.8919915035956207E-12</v>
      </c>
      <c r="G168" s="14">
        <v>1.17433884738605E-90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8.0079054335140199E-12</v>
      </c>
      <c r="G169" s="14">
        <v>1.1915869945481899E-90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3.1903279416650498E-14</v>
      </c>
      <c r="G170" s="14">
        <v>4.7472504704186802E-93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8.1985573731452103E-6</v>
      </c>
      <c r="G171" s="14">
        <v>1.2199562571020599E-84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1.4608749646085901E-13</v>
      </c>
      <c r="G172" s="14">
        <v>2.1738014053005199E-92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3.1528272788342902E-14</v>
      </c>
      <c r="G173" s="14">
        <v>4.6914489846405599E-93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1.5034690737528899E-13</v>
      </c>
      <c r="G174" s="14">
        <v>9.1136891428302395E-20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3.9699399905396399E-11</v>
      </c>
      <c r="G175" s="14">
        <v>5.9073235831007603E-90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2.9278691039668701E-5</v>
      </c>
      <c r="G176" s="14">
        <v>2.7320044436186898E-13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5.50474566482606E-6</v>
      </c>
      <c r="G177" s="14">
        <v>8.19113486911381E-85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1.7931216914249401E-13</v>
      </c>
      <c r="G178" s="14">
        <v>1.6735787067649501E-21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1.14219301569712E-7</v>
      </c>
      <c r="G179" s="14">
        <v>1.6345929959634799E-3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1.0030448024571301E-3</v>
      </c>
      <c r="G180" s="14">
        <v>0.54846092419792603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3.7594772675054602E-10</v>
      </c>
      <c r="G183" s="14">
        <v>1.15327576379417E-8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1.8590891428459499E-10</v>
      </c>
      <c r="G185" s="14">
        <v>8.8551114676153195E-9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1.1652991467694001E-12</v>
      </c>
      <c r="G187" s="14">
        <v>1.1724819687119001E-17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2.5857964186742199E-2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1.0789579158659E-2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4.9752899729801504E-3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6.1660335139967701E-4</v>
      </c>
      <c r="G191" s="14">
        <v>9.1751399966303806E-83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4.5863033365325901E-4</v>
      </c>
      <c r="G192" s="14">
        <v>1.22377561456723E-10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6.8433499093857798E-7</v>
      </c>
      <c r="G194" s="14">
        <v>5.6881830204209003E-23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7.5131654041602201E-7</v>
      </c>
      <c r="G195" s="14">
        <v>5.7995076935473902E-22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2.24101711280087E-7</v>
      </c>
      <c r="G196" s="14">
        <v>2.2499190784658399E-13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1.0223814552482299E-6</v>
      </c>
      <c r="G198" s="14">
        <v>7.6925529237627105E-19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1.14657583689894E-4</v>
      </c>
      <c r="G199" s="14">
        <v>1.2809794096017701E-12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7.5060756292232403E-8</v>
      </c>
      <c r="G201" s="14">
        <v>5.1547902396900197E-15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1.6260651974695801E-3</v>
      </c>
      <c r="G203" s="14">
        <v>1.9300394541963901E-3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1.2045062001341701E-5</v>
      </c>
      <c r="G204" s="14">
        <v>3.4279819741997401E-5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7.6533590285196001E-5</v>
      </c>
      <c r="G205" s="14">
        <v>4.3026034845982299E-3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4.8244275908194398E-5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1.6662926596008999E-3</v>
      </c>
      <c r="G207" s="14">
        <v>1.9308581556006901E-17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7.3791422319220105E-4</v>
      </c>
      <c r="G208" s="14">
        <v>2.1625422082978198E-5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1.89320379299783E-8</v>
      </c>
      <c r="G209" s="14">
        <v>1.04357648111038E-10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5.1748918649779398E-4</v>
      </c>
      <c r="G210" s="14">
        <v>7.5574052127550398E-6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1.7741401580248701E-7</v>
      </c>
      <c r="G211" s="14">
        <v>9.6174438409589098E-15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1.6723217384875099E-12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1.93580995899899E-12</v>
      </c>
      <c r="G213" s="14">
        <v>2.8805110027977102E-91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5.6219712744657804E-6</v>
      </c>
      <c r="G214" s="14">
        <v>3.4084917345017101E-12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5.9899152763839397E-6</v>
      </c>
      <c r="G215" s="14">
        <v>8.9130737132750605E-85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6.4325405857442599E-6</v>
      </c>
      <c r="G216" s="14">
        <v>6.0036990273359503E-14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2.1927371488943501E-12</v>
      </c>
      <c r="G217" s="14">
        <v>7.0346915159537597E-22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1.1277662292267001E-12</v>
      </c>
      <c r="G218" s="14">
        <v>7.9493902834925799E-22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7.5019321943629797E-10</v>
      </c>
      <c r="G219" s="14">
        <v>4.3266360448095002E-10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8.1755209924370303E-14</v>
      </c>
      <c r="G220" s="14">
        <v>3.07575320046668E-20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9.9505223067072501E-12</v>
      </c>
      <c r="G221" s="14">
        <v>9.9431766258506606E-18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1.6470335104494101E-12</v>
      </c>
      <c r="G222" s="14">
        <v>2.45080780102987E-91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1.06620058975965E-13</v>
      </c>
      <c r="G223" s="14">
        <v>1.5865206787035E-92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1.2319220246315999E-12</v>
      </c>
      <c r="G224" s="14">
        <v>1.83311638110133E-91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1.3063366682005399E-11</v>
      </c>
      <c r="G225" s="14">
        <v>1.9438463618895399E-90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2.6069799332715899E-10</v>
      </c>
      <c r="G226" s="14">
        <v>9.8078481857366097E-17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2.42600862710828E-7</v>
      </c>
      <c r="G227" s="14">
        <v>7.7830679866734597E-17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2.4356666681269301E-13</v>
      </c>
      <c r="G228" s="14">
        <v>7.8140527033089699E-23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7.7617700558641302E-11</v>
      </c>
      <c r="G229" s="14">
        <v>5.4711107555595194E-20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7.7920090875991995E-7</v>
      </c>
      <c r="G230" s="14">
        <v>4.4939338968195802E-7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1.7519095774299101E-13</v>
      </c>
      <c r="G231" s="14">
        <v>1.01038971408603E-13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1.56284007668813E-6</v>
      </c>
      <c r="G232" s="14">
        <v>1.5616863559004799E-12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5.6430873853388602E-11</v>
      </c>
      <c r="G233" s="14">
        <v>8.3969891918641495E-90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4.0279497862764202E-7</v>
      </c>
      <c r="G234" s="14">
        <v>5.99364293181216E-86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2.37652017512169E-8</v>
      </c>
      <c r="G236" s="14">
        <v>3.5362936743793901E-87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2.9829962418821698E-4</v>
      </c>
      <c r="G237" s="14">
        <v>4.4387381396100398E-83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4.18852378671018E-15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3.1275891557358902E-14</v>
      </c>
      <c r="G240" s="14">
        <v>6.4861771309789396E-28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5.0971873790158304E-6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1.35506582675833E-9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6.0899208212695097E-6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5.6743437985216902E-10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1.57673588001301E-2</v>
      </c>
      <c r="G247" s="14">
        <v>2.3462039906189801E-81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4.7198995822018503E-4</v>
      </c>
      <c r="G248" s="14">
        <v>7.0232734444981705E-83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1.10157098229209E-4</v>
      </c>
      <c r="G252" s="14">
        <v>1.6391522939038101E-83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1.3427443704501701E-2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1.44292059248912E-4</v>
      </c>
      <c r="G256" s="14">
        <v>2.14708506044547E-83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1.4306041205664E-2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1.19406071561795E-6</v>
      </c>
      <c r="G258" s="14">
        <v>1.7767782489994801E-85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7.1281060346300597E-20</v>
      </c>
      <c r="G260" s="14">
        <v>3.0041061964399898E-94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9.0488702423873602E-5</v>
      </c>
      <c r="G261" s="14">
        <v>1.34648394461014E-83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1.24582878164237E-2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4.2992554628511496E-9</v>
      </c>
      <c r="G264" s="14">
        <v>3.8447786656896198E-7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4.4438965141561003E-2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0.37748719799806701</v>
      </c>
      <c r="G266" s="14">
        <v>3.1353094658635402E-3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0.231197590148464</v>
      </c>
      <c r="G267" s="14">
        <v>3.3634133460599302E-4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1.4041072894267099E-5</v>
      </c>
      <c r="G268" s="14">
        <v>5.7223628249191795E-13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5.5359204852425096E-13</v>
      </c>
      <c r="G269" s="14">
        <v>2.82937324894556E-22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9.4670128287541E-7</v>
      </c>
      <c r="G270" s="14">
        <v>1.81705863572008E-19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2.8345511773170901E-14</v>
      </c>
      <c r="G271" s="14">
        <v>5.13918976644118E-17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7.0725827726578095E-13</v>
      </c>
      <c r="G272" s="14">
        <v>8.1413369491182705E-16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4.0246400324380201E-10</v>
      </c>
      <c r="G273" s="14">
        <v>3.7661176278686897E-14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1.9402882931992601E-14</v>
      </c>
      <c r="G274" s="14">
        <v>1.00048767240408E-17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1.9264958478615E-16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4.75021511984475E-4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1.06824360842003E-2</v>
      </c>
      <c r="G277" s="14">
        <v>4.5315839498988401E-4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2.4217960392803801E-15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6.9012968511976804E-4</v>
      </c>
      <c r="G279" s="14">
        <v>9.3510619294161397E-4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4.5868836018259101E-4</v>
      </c>
      <c r="G280" s="14">
        <v>7.9386136133530295E-9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2.2627798972487401E-13</v>
      </c>
      <c r="G281" s="14">
        <v>8.0484157650095597E-22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1.8466140190635899E-11</v>
      </c>
      <c r="G283" s="14">
        <v>6.5537777822149794E-20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3.14600329966718E-11</v>
      </c>
      <c r="G284" s="14">
        <v>4.4169190526722798E-92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2.57740247142244E-11</v>
      </c>
      <c r="G285" s="14">
        <v>3.6186160655440898E-92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1.7048898770033101E-10</v>
      </c>
      <c r="G286" s="14">
        <v>1.6071453106518499E-18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1.49859891613476E-5</v>
      </c>
      <c r="G287" s="14">
        <v>1.31970006851986E-15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1.8716963304521401E-11</v>
      </c>
      <c r="G288" s="14">
        <v>2.6278202517033201E-92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1.51615860584769E-11</v>
      </c>
      <c r="G289" s="14">
        <v>2.1286531497758301E-92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5.3290626075245902E-14</v>
      </c>
      <c r="G290" s="14">
        <v>7.4818860382469701E-95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1.7093353528123101E-5</v>
      </c>
      <c r="G291" s="14">
        <v>2.3998690300298499E-86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3.0458105120095301E-13</v>
      </c>
      <c r="G292" s="14">
        <v>4.2762505947618199E-94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5.8704875258204604E-14</v>
      </c>
      <c r="G293" s="14">
        <v>8.2420346488557099E-95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3.5159092100224301E-13</v>
      </c>
      <c r="G294" s="14">
        <v>2.0109015633668398E-21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8.3987440104382304E-11</v>
      </c>
      <c r="G295" s="14">
        <v>1.17916508358864E-91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3.4933464749732499E-5</v>
      </c>
      <c r="G296" s="14">
        <v>3.0755646033827998E-15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7.7951747784558301E-6</v>
      </c>
      <c r="G297" s="14">
        <v>1.0944252983305699E-86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3.28129570220565E-13</v>
      </c>
      <c r="G298" s="14">
        <v>2.8895831409004701E-23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3.6596852257029401E-9</v>
      </c>
      <c r="G299" s="14">
        <v>4.94159687822605E-7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2.5576374048396098E-4</v>
      </c>
      <c r="G300" s="14">
        <v>1.3195254828317199E-3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2.0365288299842399E-10</v>
      </c>
      <c r="G303" s="14">
        <v>5.8945371955615199E-11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2.3081639135477901E-10</v>
      </c>
      <c r="G305" s="14">
        <v>1.0373227732486201E-10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1.1487997118921799E-12</v>
      </c>
      <c r="G307" s="14">
        <v>1.0906025524587599E-19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2.5077586294672199E-2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1.02911023887077E-2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2.6154347413837099E-3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1.58906655785874E-3</v>
      </c>
      <c r="G311" s="14">
        <v>2.2310143018963702E-84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9.6307063870185096E-4</v>
      </c>
      <c r="G312" s="14">
        <v>2.4246586716501099E-12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9.6307064112651201E-6</v>
      </c>
      <c r="G314" s="14">
        <v>7.5529464654974101E-24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9.6307064112651201E-6</v>
      </c>
      <c r="G315" s="14">
        <v>7.0142262500838097E-23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9.1236907356076904E-7</v>
      </c>
      <c r="G316" s="14">
        <v>8.6426261799434107E-15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9.6307064112650405E-6</v>
      </c>
      <c r="G318" s="14">
        <v>6.8370557465632301E-20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2.7359860332709499E-4</v>
      </c>
      <c r="G319" s="14">
        <v>2.8840759140094599E-14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3.3458718220343003E-7</v>
      </c>
      <c r="G321" s="14">
        <v>2.1680076422205099E-16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1.1906570109219701E-3</v>
      </c>
      <c r="G323" s="14">
        <v>1.33342426382308E-5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7.0341461758284397E-5</v>
      </c>
      <c r="G324" s="14">
        <v>1.8888363262034801E-6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1.41587722190281E-4</v>
      </c>
      <c r="G325" s="14">
        <v>7.5103172063159797E-5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4.5275752882312201E-5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2.64844426309791E-3</v>
      </c>
      <c r="G327" s="14">
        <v>2.8956320506306202E-19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8.5702494001175199E-4</v>
      </c>
      <c r="G328" s="14">
        <v>2.3697668471937101E-7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3.0429623121072802E-8</v>
      </c>
      <c r="G329" s="14">
        <v>1.58262105156779E-12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7.1639230604573405E-4</v>
      </c>
      <c r="G330" s="14">
        <v>9.8713327196094004E-8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7.9649753767762199E-7</v>
      </c>
      <c r="G331" s="14">
        <v>4.0738929979405901E-16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2.7666374606618699E-12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3.57341843491278E-12</v>
      </c>
      <c r="G333" s="14">
        <v>5.0170004494294097E-93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1.30570883438485E-5</v>
      </c>
      <c r="G334" s="14">
        <v>7.4691883853996699E-14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1.2392545756537501E-5</v>
      </c>
      <c r="G335" s="14">
        <v>1.7398860156616501E-86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1.16680774952925E-5</v>
      </c>
      <c r="G336" s="14">
        <v>1.02751726991426E-15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6.2797269982580504E-12</v>
      </c>
      <c r="G337" s="14">
        <v>1.9008712174986801E-23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3.64272523218951E-12</v>
      </c>
      <c r="G338" s="14">
        <v>2.4226718650381201E-23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2.0651328302105802E-9</v>
      </c>
      <c r="G339" s="14">
        <v>1.12377319332749E-11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1.88654111076637E-13</v>
      </c>
      <c r="G340" s="14">
        <v>6.6966217320100805E-22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2.5966660957821001E-11</v>
      </c>
      <c r="G341" s="14">
        <v>2.4482109251919701E-19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3.8797844855029598E-12</v>
      </c>
      <c r="G342" s="14">
        <v>5.4471316085692504E-93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2.0015857006396601E-13</v>
      </c>
      <c r="G343" s="14">
        <v>2.8101820546872898E-94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2.5864993721767001E-12</v>
      </c>
      <c r="G344" s="14">
        <v>3.63138791300721E-93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2.7636657717271199E-11</v>
      </c>
      <c r="G345" s="14">
        <v>3.88012561959204E-92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6.05749755030118E-10</v>
      </c>
      <c r="G346" s="14">
        <v>2.1502192295436401E-18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6.9866532621225204E-7</v>
      </c>
      <c r="G347" s="14">
        <v>2.1148575561160401E-18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7.0144674186900799E-13</v>
      </c>
      <c r="G348" s="14">
        <v>2.1232768918089801E-24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2.5195141636807799E-10</v>
      </c>
      <c r="G349" s="14">
        <v>1.6756564629074699E-21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2.1574683691385001E-6</v>
      </c>
      <c r="G350" s="14">
        <v>1.17401897021926E-8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4.8507252191365102E-13</v>
      </c>
      <c r="G351" s="14">
        <v>2.6395953275835299E-15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4.1033899620972997E-6</v>
      </c>
      <c r="G352" s="14">
        <v>3.86879320057664E-14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1.33833721776657E-10</v>
      </c>
      <c r="G353" s="14">
        <v>1.8789958537802299E-91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7.6262273363353903E-7</v>
      </c>
      <c r="G354" s="14">
        <v>1.07070545111741E-87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1.9306683436430901E-8</v>
      </c>
      <c r="G356" s="14">
        <v>2.7106156539411599E-89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3.7482204129166298E-4</v>
      </c>
      <c r="G357" s="14">
        <v>5.2624185604567005E-85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3.9965971305559703E-15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4.8714019992187598E-14</v>
      </c>
      <c r="G360" s="14">
        <v>9.5320546530786205E-30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7.8575511889209208E-6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2.0672000410933101E-9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9.1928760611529707E-6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3.5262002112996998E-10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3.4104405849574901E-2</v>
      </c>
      <c r="G367" s="14">
        <v>4.7881831526683802E-83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1.30665332716913E-3</v>
      </c>
      <c r="G368" s="14">
        <v>1.83451237213309E-84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1.0210974130940899E-4</v>
      </c>
      <c r="G372" s="14">
        <v>1.4335981844033001E-85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5.1869118368242399E-3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2.0608981125911301E-4</v>
      </c>
      <c r="G376" s="14">
        <v>2.8934553692563099E-85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1.26984385695999E-2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2.0282327623910098E-6</v>
      </c>
      <c r="G378" s="14">
        <v>2.8475939400339201E-87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1.3126017765600199E-19</v>
      </c>
      <c r="G380" s="14">
        <v>5.2194839335490201E-96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1.0656368275237801E-4</v>
      </c>
      <c r="G381" s="14">
        <v>1.49613053718569E-85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7.9358241778174597E-3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2.4914782246774902E-9</v>
      </c>
      <c r="G384" s="14">
        <v>2.1022706899867998E-9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2.5041454254363701E-2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2.3330739725521899E-2</v>
      </c>
      <c r="G387" s="14">
        <v>0.16817686465678999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/>
      <c r="G388" s="14"/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/>
      <c r="G389" s="14">
        <v>-135213309.170486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/>
      <c r="G390" s="14">
        <v>-6467434.3985699899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/>
      <c r="G391" s="14">
        <v>-56359.758347601201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/>
      <c r="G392" s="14">
        <v>-2695.7630285697501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/>
      <c r="G393" s="14">
        <v>3.7154849870865099E-2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/>
      <c r="G394" s="14">
        <v>0.77678873772312296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/>
      <c r="G395" s="14">
        <v>-0.23469222557509101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/>
      <c r="G396" s="14">
        <v>20.9067925297214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/>
      <c r="G397" s="14">
        <v>6.2485861580758304E-6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/>
      <c r="G398" s="14"/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/>
      <c r="G399" s="14">
        <v>3.1353094658635402E-3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/>
      <c r="G400" s="14"/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/>
      <c r="G401" s="14"/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-45941569.250403002</v>
      </c>
      <c r="G402" s="14"/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-1934386.0620957599</v>
      </c>
      <c r="G403" s="14"/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1.0648184860988899E+38</v>
      </c>
      <c r="G404" s="14"/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4.4834559893783702E+36</v>
      </c>
      <c r="G405" s="14"/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28.385712902848699</v>
      </c>
      <c r="G406" s="14"/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674.159218059816</v>
      </c>
      <c r="G407" s="14"/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-8.4514580373844002</v>
      </c>
      <c r="G408" s="14"/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23.749948446500301</v>
      </c>
      <c r="G409" s="14"/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6.6225967965421496E-4</v>
      </c>
      <c r="G410" s="14"/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/>
      <c r="G411" s="14"/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0.37748719799806602</v>
      </c>
      <c r="G412" s="14"/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3.3105905615747301E-14</v>
      </c>
      <c r="G413" s="14">
        <v>2.8431766034866701E-93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1.13430455901719E-3</v>
      </c>
      <c r="G414" s="14">
        <v>3.9684504741835298E-10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1.8177661739485701E-12</v>
      </c>
      <c r="G415" s="14">
        <v>1.5611203379743001E-91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1.1705998586745001E-4</v>
      </c>
      <c r="G416" s="14">
        <v>6.3041971587055298E-13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2.6121172235562499E-5</v>
      </c>
      <c r="G417" s="14">
        <v>2.2433189600006202E-84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1.0943278500290901E-3</v>
      </c>
      <c r="G418" s="14">
        <v>5.8948859119493701E-12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5.1344354971755998E-9</v>
      </c>
      <c r="G419" s="14">
        <v>4.2408646391583099E-5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3.9465486280729098E-4</v>
      </c>
      <c r="G420" s="14">
        <v>0.124547321681294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6.5338911742507295E-10</v>
      </c>
      <c r="G423" s="14">
        <v>1.12682473137065E-8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2.6866338028165902E-10</v>
      </c>
      <c r="G425" s="14">
        <v>2.17366541213164E-8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4.5559237352763201E-10</v>
      </c>
      <c r="G427" s="14">
        <v>2.6456766513843502E-15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1.0272874860295299E-8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4.8617237782534197E-18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1.86256181176928E-3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5.3248685797681501E-3</v>
      </c>
      <c r="G431" s="14">
        <v>4.5730637724759297E-82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3.2271930591578498E-3</v>
      </c>
      <c r="G432" s="14">
        <v>4.9699903035329097E-10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3.2271930786473602E-5</v>
      </c>
      <c r="G434" s="14">
        <v>1.54817959606947E-21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3.2271930786473602E-5</v>
      </c>
      <c r="G435" s="14">
        <v>1.4377543932293001E-20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3.0572950670682301E-6</v>
      </c>
      <c r="G436" s="14">
        <v>1.7715387487623199E-12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3.2271930786473101E-5</v>
      </c>
      <c r="G438" s="14">
        <v>1.40143853162099E-17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9.1681282883029002E-4</v>
      </c>
      <c r="G439" s="14">
        <v>5.9116895682014397E-12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1.1211819689253199E-6</v>
      </c>
      <c r="G441" s="14">
        <v>4.4439149782128703E-14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3.8872865551012E-3</v>
      </c>
      <c r="G443" s="14">
        <v>3.75416636483793E-3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2.2406846786186699E-4</v>
      </c>
      <c r="G444" s="14">
        <v>4.5827603392118203E-4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6.72901608047943E-5</v>
      </c>
      <c r="G445" s="14">
        <v>1.6800678483940401E-2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1.35384557288748E-4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8.8747809662802404E-3</v>
      </c>
      <c r="G447" s="14">
        <v>3.4531924758977399E-16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2.3591532872843002E-3</v>
      </c>
      <c r="G448" s="14">
        <v>3.9903082555193598E-5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2.5532025808686499E-5</v>
      </c>
      <c r="G449" s="14">
        <v>8.1227627176862003E-8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1.27168275238469E-3</v>
      </c>
      <c r="G450" s="14">
        <v>1.0718691852724101E-5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2.32705877611384E-4</v>
      </c>
      <c r="G451" s="14">
        <v>7.2806584912066195E-12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6.0455868576007203E-6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0</v>
      </c>
      <c r="G453" s="14">
        <v>0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1.9242714330997299E-8</v>
      </c>
      <c r="G454" s="14">
        <v>6.7333552838133996E-15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2.09143327860671E-8</v>
      </c>
      <c r="G455" s="14">
        <v>1.7961490721642101E-87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1.8621515954006701E-8</v>
      </c>
      <c r="G456" s="14">
        <v>1.0030971253587E-16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2.21037291701634E-12</v>
      </c>
      <c r="G457" s="14">
        <v>4.09275369137325E-22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1.0858597927698599E-19</v>
      </c>
      <c r="G458" s="14">
        <v>8.1725051622040199E-24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2.0563427570920199E-14</v>
      </c>
      <c r="G459" s="14">
        <v>6.8448559107881798E-15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1.6531809277000901E-16</v>
      </c>
      <c r="G460" s="14">
        <v>3.11616194459981E-21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8.0110039769897607E-12</v>
      </c>
      <c r="G461" s="14">
        <v>4.6201683299383601E-18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6.4819126130371101E-20</v>
      </c>
      <c r="G462" s="14">
        <v>1.2581867196825E-93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2.63962551697768E-20</v>
      </c>
      <c r="G463" s="14">
        <v>1.0027096660297901E-93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1.8325529137694001E-17</v>
      </c>
      <c r="G464" s="14">
        <v>1.1214220412450801E-93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4.0125650111857599E-12</v>
      </c>
      <c r="G465" s="14">
        <v>3.4460410454218202E-91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5.98908540879225E-8</v>
      </c>
      <c r="G466" s="14">
        <v>1.30043343829915E-14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1.7746731968395102E-5</v>
      </c>
      <c r="G467" s="14">
        <v>3.2860067282901701E-15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2.4431136541567698E-13</v>
      </c>
      <c r="G468" s="14">
        <v>4.5236993040937499E-23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2.0188199959213E-14</v>
      </c>
      <c r="G469" s="14">
        <v>8.2130394094334207E-24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2.8452233269134098E-6</v>
      </c>
      <c r="G470" s="14">
        <v>9.4707672831140803E-7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2.1701071511974999E-16</v>
      </c>
      <c r="G471" s="14">
        <v>1.3443508895770101E-16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1.57817217817897E-4</v>
      </c>
      <c r="G472" s="14">
        <v>9.10175695550229E-11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1.47499431332135E-14</v>
      </c>
      <c r="G473" s="14">
        <v>1.2667435745712899E-93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1.1775172162305801E-14</v>
      </c>
      <c r="G474" s="14">
        <v>1.01126652091858E-93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6.2355648886693895E-4</v>
      </c>
      <c r="G476" s="14">
        <v>5.3551811591448599E-83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0</v>
      </c>
      <c r="G477" s="14">
        <v>0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5.0514048208691598E-3</v>
      </c>
      <c r="G480" s="14">
        <v>6.0462048233456506E-17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2.5315961139437199E-2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5.6263175447404801E-9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1.4591518361862499E-20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1.14252500956419E-2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1.82905597446954E-17</v>
      </c>
      <c r="G487" s="14">
        <v>1.1552912060665199E-93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5.83517313649729E-3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1.8088640305756298E-2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6.7964887030693502E-6</v>
      </c>
      <c r="G498" s="14">
        <v>5.8369095504328201E-85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1.13870257085053E-2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7.0539018949021396E-10</v>
      </c>
      <c r="G504" s="14">
        <v>3.6408189427892003E-8</v>
      </c>
      <c r="K504" s="14"/>
    </row>
    <row r="505" spans="1:11" x14ac:dyDescent="0.25">
      <c r="A505" s="9" t="s">
        <v>332</v>
      </c>
      <c r="C505" s="9">
        <v>4.6782964533549602</v>
      </c>
      <c r="F505" s="14">
        <v>9.1844958902213697E-2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1.7630014641930699E-2</v>
      </c>
      <c r="G506" s="14">
        <v>0.392292801859561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-286688549.99792498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-8569763.4112334307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-17224.1206342603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-514.86757599221596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3.7154849870865099E-2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1.2429596388747699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-1.1607366502840599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33.453496466673499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1.4575580158513E-5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1.1702498863980801E-2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-226447728.206541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-10926850.258262901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7.7860846296385702E+37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3.7570428071870299E+36</v>
      </c>
      <c r="K524" s="14"/>
    </row>
    <row r="525" spans="1:11" x14ac:dyDescent="0.25">
      <c r="A525" s="9" t="s">
        <v>13</v>
      </c>
      <c r="B525" s="9" t="s">
        <v>12</v>
      </c>
      <c r="F525" s="9">
        <v>34.032691980822896</v>
      </c>
      <c r="K525" s="14"/>
    </row>
    <row r="526" spans="1:11" x14ac:dyDescent="0.25">
      <c r="A526" s="9" t="s">
        <v>11</v>
      </c>
      <c r="B526" s="9" t="s">
        <v>10</v>
      </c>
      <c r="F526" s="9">
        <v>705.29252269953702</v>
      </c>
    </row>
    <row r="527" spans="1:11" x14ac:dyDescent="0.25">
      <c r="A527" s="9" t="s">
        <v>9</v>
      </c>
      <c r="B527" s="9" t="s">
        <v>8</v>
      </c>
      <c r="F527" s="9">
        <v>-37.741090391230699</v>
      </c>
    </row>
    <row r="528" spans="1:11" x14ac:dyDescent="0.25">
      <c r="A528" s="9" t="s">
        <v>7</v>
      </c>
      <c r="F528" s="9">
        <v>20.723971030471599</v>
      </c>
    </row>
    <row r="529" spans="1:6" x14ac:dyDescent="0.25">
      <c r="A529" s="9" t="s">
        <v>6</v>
      </c>
      <c r="B529" s="9" t="s">
        <v>5</v>
      </c>
      <c r="F529" s="9">
        <v>5.9999685792610905E-4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0.298423620048831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W532"/>
  <sheetViews>
    <sheetView workbookViewId="0">
      <selection activeCell="F26" sqref="F26:G412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57031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315</v>
      </c>
      <c r="K1" s="9" t="s">
        <v>316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0.66225967965421495</v>
      </c>
      <c r="G26" s="5">
        <v>6.2485861580758003E-3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0.53472568413328403</v>
      </c>
      <c r="G27" s="18">
        <v>7.7790754710721196E-4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151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6.35264110611115E-6</v>
      </c>
      <c r="G28" s="18">
        <v>2.58898430194079E-13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3.0395725256032501E-3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8.1662307424687204E-14</v>
      </c>
      <c r="G29" s="18">
        <v>4.1737078538341099E-23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2.1895201351657901E-7</v>
      </c>
      <c r="G30" s="18">
        <v>4.2024728831064202E-20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0.45896989035936769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1.9667154748253701E-14</v>
      </c>
      <c r="G31" s="18">
        <v>3.5657581780868199E-17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3.9780396404284598E-13</v>
      </c>
      <c r="G32" s="18">
        <v>4.5791703187811304E-16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0.17240896206484263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1.90330653561422E-10</v>
      </c>
      <c r="G33" s="18">
        <v>1.78104780483242E-14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7.9156773262728702E-15</v>
      </c>
      <c r="G34" s="18">
        <v>4.0816293183969598E-18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12.341695837373958</v>
      </c>
      <c r="P34" s="5">
        <f>14-(-LOG(P38))</f>
        <v>12.819612969040593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8.0270660327562796E-15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1.1637659386684301E-3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8.0270660327562796E-15</v>
      </c>
      <c r="P36" s="5">
        <f>F36</f>
        <v>1.1637659386684301E-3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2.6135459051748501E-2</v>
      </c>
      <c r="G37" s="18">
        <v>1.1086893085867501E-3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1.7630014641930699E-2</v>
      </c>
      <c r="P37" s="5">
        <f>$F$506</f>
        <v>1.7630014641930699E-2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5.5940443109653903E-15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4.5530682735027043E-13</v>
      </c>
      <c r="P38">
        <f>P36/P37</f>
        <v>6.6010491897185608E-2</v>
      </c>
      <c r="Q38">
        <f>P38*O38</f>
        <v>3.0055027637538311E-14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6.5338637182302695E-4</v>
      </c>
      <c r="G39" s="18">
        <v>8.8532004324568404E-4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1.6895925185206101E-4</v>
      </c>
      <c r="G40" s="18">
        <v>2.92421245727879E-9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5.4122224655417697E-14</v>
      </c>
      <c r="G41" s="18">
        <v>1.92505761025934E-22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5.2631880110024602E-12</v>
      </c>
      <c r="G43" s="18">
        <v>1.86794664689158E-20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7.2345352833462101E-12</v>
      </c>
      <c r="G44" s="18">
        <v>1.01571275318186E-92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5.2584109510737299E-12</v>
      </c>
      <c r="G45" s="18">
        <v>7.3826926751905302E-93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4.3002766363861999E-11</v>
      </c>
      <c r="G46" s="18">
        <v>4.05373363048032E-19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5.1968779514125503E-6</v>
      </c>
      <c r="G47" s="18">
        <v>4.5764881548544801E-16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5.2265477650050201E-12</v>
      </c>
      <c r="G48" s="18">
        <v>7.3379574666671701E-93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5.3033128871002403E-12</v>
      </c>
      <c r="G49" s="18">
        <v>7.4457340002769699E-93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2.1128255606389899E-14</v>
      </c>
      <c r="G50" s="18">
        <v>2.9663603578377E-95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5.4295739795658496E-6</v>
      </c>
      <c r="G51" s="18">
        <v>7.6230017815859001E-87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9.6747858607654796E-14</v>
      </c>
      <c r="G52" s="18">
        <v>1.3583185371566601E-94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2.0879903836858699E-14</v>
      </c>
      <c r="G53" s="18">
        <v>2.9314923186743799E-95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9.9568694715360798E-14</v>
      </c>
      <c r="G54" s="18">
        <v>5.6947671826894795E-22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2.6291311863812401E-11</v>
      </c>
      <c r="G55" s="18">
        <v>3.6912420372638203E-92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1.9390096548625701E-5</v>
      </c>
      <c r="G56" s="18">
        <v>1.7071165150197301E-15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3.6455711005656402E-6</v>
      </c>
      <c r="G57" s="18">
        <v>5.1183011962076599E-87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1.1875121969441099E-13</v>
      </c>
      <c r="G58" s="18">
        <v>1.04575007415419E-23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7.5642838067885594E-8</v>
      </c>
      <c r="G59" s="18">
        <v>1.02138951686651E-5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6.6427612955408403E-4</v>
      </c>
      <c r="G60" s="18">
        <v>3.4271053391886201E-3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2.48975021084547E-10</v>
      </c>
      <c r="G63" s="18">
        <v>7.2063429740885502E-11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1.23119978018979E-10</v>
      </c>
      <c r="G65" s="18">
        <v>5.5331926944759398E-11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7.7173063964083304E-13</v>
      </c>
      <c r="G67" s="18">
        <v>7.3263546002866501E-20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1.7124687078822101E-2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7.1455032372172997E-3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3.2949339436926599E-3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4.0835153797166499E-4</v>
      </c>
      <c r="G71" s="22">
        <v>5.73316527813523E-85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3.0373237784491299E-4</v>
      </c>
      <c r="G72" s="22">
        <v>7.6468673657755001E-13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4.5320747187515302E-7</v>
      </c>
      <c r="G74" s="18">
        <v>3.5543101686003801E-25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4.9756665137482802E-7</v>
      </c>
      <c r="G75" s="18">
        <v>3.6238723497554302E-24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1.4841352752231199E-7</v>
      </c>
      <c r="G76" s="18">
        <v>1.40588132104923E-15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6.7708201503710304E-7</v>
      </c>
      <c r="G78" s="18">
        <v>4.8067579719689197E-21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7.5933094644395504E-5</v>
      </c>
      <c r="G79" s="18">
        <v>8.0043102076177293E-15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4.9709712416696899E-8</v>
      </c>
      <c r="G81" s="18">
        <v>3.22101509395113E-17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1.07687741677307E-3</v>
      </c>
      <c r="G83" s="18">
        <v>1.2060017818031701E-5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7.9769589024237098E-6</v>
      </c>
      <c r="G84" s="22">
        <v>2.14200407141179E-7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5.0685110985060802E-5</v>
      </c>
      <c r="G85" s="22">
        <v>2.68851885775492E-5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3.1950238708110398E-5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1.1035184429574599E-3</v>
      </c>
      <c r="G87" s="18">
        <v>1.2065133544294201E-19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4.8869083706355601E-4</v>
      </c>
      <c r="G88" s="18">
        <v>1.3512831309024399E-7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1.25379253747089E-8</v>
      </c>
      <c r="G89" s="18">
        <v>6.5208775547597697E-13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3.4271222287454901E-4</v>
      </c>
      <c r="G90" s="18">
        <v>4.72230976033911E-8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1.1749414927152301E-7</v>
      </c>
      <c r="G91" s="18">
        <v>6.0095426460687199E-17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1.1075112588095201E-12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1.2820088833181099E-12</v>
      </c>
      <c r="G93" s="18">
        <v>1.79991211802668E-93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3.7232048952529099E-6</v>
      </c>
      <c r="G94" s="18">
        <v>2.1298254272123199E-14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3.9668793720939201E-6</v>
      </c>
      <c r="G95" s="18">
        <v>5.5694109030679797E-87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4.2600122676777301E-6</v>
      </c>
      <c r="G96" s="18">
        <v>3.75146306394646E-16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1.45216140179267E-12</v>
      </c>
      <c r="G97" s="18">
        <v>4.3956876032921897E-24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7.4687410169251601E-13</v>
      </c>
      <c r="G98" s="18">
        <v>4.9672450090574E-24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4.9682272118264697E-10</v>
      </c>
      <c r="G99" s="18">
        <v>2.7035358100628501E-12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5.4143179134576602E-14</v>
      </c>
      <c r="G100" s="18">
        <v>1.9219108874093401E-22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6.5898297152320603E-12</v>
      </c>
      <c r="G101" s="18">
        <v>6.2130795831593294E-20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1.0907638850099801E-12</v>
      </c>
      <c r="G102" s="18">
        <v>1.53140837016194E-93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7.0610166102136103E-14</v>
      </c>
      <c r="G103" s="18">
        <v>9.9135111524477202E-95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8.1585228539149502E-13</v>
      </c>
      <c r="G104" s="18">
        <v>1.14543856450918E-93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8.6513410340304406E-12</v>
      </c>
      <c r="G105" s="18">
        <v>1.2146291470328999E-92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1.72649769547341E-10</v>
      </c>
      <c r="G106" s="18">
        <v>6.1285184413902696E-19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1.60664769622709E-7</v>
      </c>
      <c r="G107" s="18">
        <v>4.8633170888890698E-19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1.6130438273781899E-13</v>
      </c>
      <c r="G108" s="18">
        <v>4.8826781560371196E-25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5.1403073507462602E-11</v>
      </c>
      <c r="G109" s="18">
        <v>3.4186706936488898E-22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5.1603334422161797E-7</v>
      </c>
      <c r="G110" s="18">
        <v>2.8080733142974501E-9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1.16021907553188E-13</v>
      </c>
      <c r="G111" s="18">
        <v>6.3135071817001296E-16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1.0350059685382499E-6</v>
      </c>
      <c r="G112" s="18">
        <v>9.7583317467355798E-15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3.7371892440752497E-11</v>
      </c>
      <c r="G113" s="18">
        <v>5.24693104337944E-92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2.6675487351226898E-7</v>
      </c>
      <c r="G114" s="18">
        <v>3.7451794260170302E-88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1.5738734898678701E-8</v>
      </c>
      <c r="G116" s="22">
        <v>2.20968357046181E-89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1.9755181355586099E-4</v>
      </c>
      <c r="G117" s="22">
        <v>2.77358376984904E-85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2.7738904212107399E-15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2.0712761923676501E-14</v>
      </c>
      <c r="G120" s="18">
        <v>4.0529436639462797E-30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3.3756616807645299E-6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8.9740546033934603E-10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4.0331090122134799E-6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3.7578891062568599E-10</v>
      </c>
      <c r="G126" s="18">
        <v>0</v>
      </c>
      <c r="H126" s="17" t="s">
        <v>43</v>
      </c>
      <c r="I126" s="17">
        <f>W34</f>
        <v>39</v>
      </c>
      <c r="J126" s="17">
        <f>$W$34/I126</f>
        <v>1</v>
      </c>
      <c r="K126" s="18">
        <f t="shared" si="2"/>
        <v>3.7578891062568599E-10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1.04420859879672E-2</v>
      </c>
      <c r="G127" s="18">
        <v>1.4660457779804E-83</v>
      </c>
      <c r="H127" s="17" t="s">
        <v>42</v>
      </c>
      <c r="I127" s="17">
        <f>I126+2+I123</f>
        <v>136</v>
      </c>
      <c r="J127" s="17">
        <f t="shared" ref="J127:J130" si="3">$W$34/I127</f>
        <v>0.28676470588235292</v>
      </c>
      <c r="K127" s="18">
        <f t="shared" si="2"/>
        <v>2.9944217171376528E-3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3.1257991853090602E-4</v>
      </c>
      <c r="G128" s="18">
        <v>4.38855292296726E-85</v>
      </c>
      <c r="H128" s="17" t="s">
        <v>41</v>
      </c>
      <c r="I128" s="17">
        <f>I127+2+I124</f>
        <v>270</v>
      </c>
      <c r="J128" s="17">
        <f t="shared" si="3"/>
        <v>0.14444444444444443</v>
      </c>
      <c r="K128" s="18">
        <f t="shared" si="2"/>
        <v>4.5150432676686417E-5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f t="shared" si="3"/>
        <v>0.28260869565217389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f t="shared" si="3"/>
        <v>0.39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f>$W$34*3/I131</f>
        <v>0.46987951807228917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7.2952604584913805E-5</v>
      </c>
      <c r="G132" s="22">
        <v>1.02423843346655E-85</v>
      </c>
      <c r="H132" s="20" t="s">
        <v>37</v>
      </c>
      <c r="I132" s="20">
        <f>W35+I36*2</f>
        <v>58</v>
      </c>
      <c r="J132" s="20">
        <v>0</v>
      </c>
      <c r="K132" s="22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8.8924545663183006E-3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9.5558812934831494E-5</v>
      </c>
      <c r="G136" s="18">
        <v>1.3416245988910901E-85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9.4743142659830405E-3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7.9077826701282604E-7</v>
      </c>
      <c r="G138" s="22">
        <v>1.1102351972668301E-87</v>
      </c>
      <c r="H138" s="20" t="s">
        <v>31</v>
      </c>
      <c r="I138" s="20">
        <f>I137+I36*3</f>
        <v>107</v>
      </c>
      <c r="J138" s="20">
        <v>0</v>
      </c>
      <c r="K138" s="22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4.72065721903538E-20</v>
      </c>
      <c r="G140" s="22">
        <v>1.87714163964647E-96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5.99270190795601E-5</v>
      </c>
      <c r="G141" s="22">
        <v>8.41362093836223E-86</v>
      </c>
      <c r="H141" s="20" t="s">
        <v>28</v>
      </c>
      <c r="I141" s="20">
        <f>W32+I36*2</f>
        <v>74</v>
      </c>
      <c r="J141" s="20">
        <v>0</v>
      </c>
      <c r="K141" s="22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8.2506216983447705E-3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2.84722354557944E-9</v>
      </c>
      <c r="G144" s="14">
        <v>2.4024430751293301E-9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2.9430134818814999E-2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0.80742600004348697</v>
      </c>
      <c r="G147" s="14">
        <v>0.12449336976842799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9.5923718463851692E-6</v>
      </c>
      <c r="G148" s="14">
        <v>4.1433121612554403E-11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1.2330859017013601E-13</v>
      </c>
      <c r="G149" s="14">
        <v>6.6794435545069999E-21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3.3061353460458298E-7</v>
      </c>
      <c r="G150" s="14">
        <v>6.7254780150147402E-18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2.9697043852227998E-14</v>
      </c>
      <c r="G151" s="14">
        <v>5.7065039800697298E-15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6.0067670773879902E-13</v>
      </c>
      <c r="G152" s="14">
        <v>7.3283302861446802E-14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2.8739580471031999E-10</v>
      </c>
      <c r="G153" s="14">
        <v>2.8503212723258299E-12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1.19525279425223E-14</v>
      </c>
      <c r="G154" s="14">
        <v>6.5320845630363505E-16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1.2120722851416E-14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1.75726527587497E-3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3.9464065010562897E-2</v>
      </c>
      <c r="G157" s="14">
        <v>0.17743042674603399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8.4469045645149397E-15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9.8660146751524801E-4</v>
      </c>
      <c r="G159" s="14">
        <v>0.14168325775607299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2.5512537912662802E-4</v>
      </c>
      <c r="G160" s="14">
        <v>4.6797985709126801E-7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8.1723569044210099E-14</v>
      </c>
      <c r="G161" s="14">
        <v>3.0807890962203598E-20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7.9473176047053393E-12</v>
      </c>
      <c r="G163" s="14">
        <v>2.98939087921098E-18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1.09240159194405E-11</v>
      </c>
      <c r="G164" s="14">
        <v>1.62550811893524E-90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7.9401043316109795E-12</v>
      </c>
      <c r="G165" s="14">
        <v>1.1814981002780899E-90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6.4933390458430198E-11</v>
      </c>
      <c r="G166" s="14">
        <v>6.4874413634213697E-17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7.8471906278908406E-6</v>
      </c>
      <c r="G167" s="14">
        <v>7.3240378528504905E-14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7.8919915035956207E-12</v>
      </c>
      <c r="G168" s="14">
        <v>1.17433884738605E-90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8.0079054335140199E-12</v>
      </c>
      <c r="G169" s="14">
        <v>1.1915869945481899E-90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3.1903279416650498E-14</v>
      </c>
      <c r="G170" s="14">
        <v>4.7472504704186802E-93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8.1985573731452103E-6</v>
      </c>
      <c r="G171" s="14">
        <v>1.2199562571020599E-84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1.4608749646085901E-13</v>
      </c>
      <c r="G172" s="14">
        <v>2.1738014053005199E-92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3.1528272788342902E-14</v>
      </c>
      <c r="G173" s="14">
        <v>4.6914489846405599E-93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1.5034690737528899E-13</v>
      </c>
      <c r="G174" s="14">
        <v>9.1136891428302395E-20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3.9699399905396399E-11</v>
      </c>
      <c r="G175" s="14">
        <v>5.9073235831007603E-90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2.9278691039668701E-5</v>
      </c>
      <c r="G176" s="14">
        <v>2.7320044436186898E-13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5.50474566482606E-6</v>
      </c>
      <c r="G177" s="14">
        <v>8.19113486911381E-85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1.7931216914249401E-13</v>
      </c>
      <c r="G178" s="14">
        <v>1.6735787067649501E-21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1.14219301569712E-7</v>
      </c>
      <c r="G179" s="14">
        <v>1.6345929959634799E-3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1.0030448024571301E-3</v>
      </c>
      <c r="G180" s="14">
        <v>0.54846092419792603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3.7594772675054602E-10</v>
      </c>
      <c r="G183" s="14">
        <v>1.15327576379417E-8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1.8590891428459499E-10</v>
      </c>
      <c r="G185" s="14">
        <v>8.8551114676153195E-9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1.1652991467694001E-12</v>
      </c>
      <c r="G187" s="14">
        <v>1.1724819687119001E-17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2.5857964186742199E-2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1.0789579158659E-2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4.9752899729801504E-3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6.1660335139967701E-4</v>
      </c>
      <c r="G191" s="14">
        <v>9.1751399966303806E-83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4.5863033365325901E-4</v>
      </c>
      <c r="G192" s="14">
        <v>1.22377561456723E-10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6.8433499093857798E-7</v>
      </c>
      <c r="G194" s="14">
        <v>5.6881830204209003E-23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7.5131654041602201E-7</v>
      </c>
      <c r="G195" s="14">
        <v>5.7995076935473902E-22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2.24101711280087E-7</v>
      </c>
      <c r="G196" s="14">
        <v>2.2499190784658399E-13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1.0223814552482299E-6</v>
      </c>
      <c r="G198" s="14">
        <v>7.6925529237627105E-19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1.14657583689894E-4</v>
      </c>
      <c r="G199" s="14">
        <v>1.2809794096017701E-12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7.5060756292232403E-8</v>
      </c>
      <c r="G201" s="14">
        <v>5.1547902396900197E-15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1.6260651974695801E-3</v>
      </c>
      <c r="G203" s="14">
        <v>1.9300394541963901E-3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1.2045062001341701E-5</v>
      </c>
      <c r="G204" s="14">
        <v>3.4279819741997401E-5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7.6533590285196001E-5</v>
      </c>
      <c r="G205" s="14">
        <v>4.3026034845982299E-3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4.8244275908194398E-5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1.6662926596008999E-3</v>
      </c>
      <c r="G207" s="14">
        <v>1.9308581556006901E-17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7.3791422319220105E-4</v>
      </c>
      <c r="G208" s="14">
        <v>2.1625422082978198E-5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1.89320379299783E-8</v>
      </c>
      <c r="G209" s="14">
        <v>1.04357648111038E-10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5.1748918649779398E-4</v>
      </c>
      <c r="G210" s="14">
        <v>7.5574052127550398E-6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1.7741401580248701E-7</v>
      </c>
      <c r="G211" s="14">
        <v>9.6174438409589098E-15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1.6723217384875099E-12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1.93580995899899E-12</v>
      </c>
      <c r="G213" s="14">
        <v>2.8805110027977102E-91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5.6219712744657804E-6</v>
      </c>
      <c r="G214" s="14">
        <v>3.4084917345017101E-12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5.9899152763839397E-6</v>
      </c>
      <c r="G215" s="14">
        <v>8.9130737132750605E-85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6.4325405857442599E-6</v>
      </c>
      <c r="G216" s="14">
        <v>6.0036990273359503E-14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2.1927371488943501E-12</v>
      </c>
      <c r="G217" s="14">
        <v>7.0346915159537597E-22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1.1277662292267001E-12</v>
      </c>
      <c r="G218" s="14">
        <v>7.9493902834925799E-22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7.5019321943629797E-10</v>
      </c>
      <c r="G219" s="14">
        <v>4.3266360448095002E-10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8.1755209924370303E-14</v>
      </c>
      <c r="G220" s="14">
        <v>3.07575320046668E-20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9.9505223067072501E-12</v>
      </c>
      <c r="G221" s="14">
        <v>9.9431766258506606E-18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1.6470335104494101E-12</v>
      </c>
      <c r="G222" s="14">
        <v>2.45080780102987E-91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1.06620058975965E-13</v>
      </c>
      <c r="G223" s="14">
        <v>1.5865206787035E-92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1.2319220246315999E-12</v>
      </c>
      <c r="G224" s="14">
        <v>1.83311638110133E-91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1.3063366682005399E-11</v>
      </c>
      <c r="G225" s="14">
        <v>1.9438463618895399E-90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2.6069799332715899E-10</v>
      </c>
      <c r="G226" s="14">
        <v>9.8078481857366097E-17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2.42600862710828E-7</v>
      </c>
      <c r="G227" s="14">
        <v>7.7830679866734597E-17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2.4356666681269301E-13</v>
      </c>
      <c r="G228" s="14">
        <v>7.8140527033089699E-23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7.7617700558641302E-11</v>
      </c>
      <c r="G229" s="14">
        <v>5.4711107555595194E-20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7.7920090875991995E-7</v>
      </c>
      <c r="G230" s="14">
        <v>4.4939338968195802E-7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1.7519095774299101E-13</v>
      </c>
      <c r="G231" s="14">
        <v>1.01038971408603E-13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1.56284007668813E-6</v>
      </c>
      <c r="G232" s="14">
        <v>1.5616863559004799E-12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5.6430873853388602E-11</v>
      </c>
      <c r="G233" s="14">
        <v>8.3969891918641495E-90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4.0279497862764202E-7</v>
      </c>
      <c r="G234" s="14">
        <v>5.99364293181216E-86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2.37652017512169E-8</v>
      </c>
      <c r="G236" s="14">
        <v>3.5362936743793901E-87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2.9829962418821698E-4</v>
      </c>
      <c r="G237" s="14">
        <v>4.4387381396100398E-83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4.18852378671018E-15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3.1275891557358902E-14</v>
      </c>
      <c r="G240" s="14">
        <v>6.4861771309789396E-28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5.0971873790158304E-6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1.35506582675833E-9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6.0899208212695097E-6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5.6743437985216902E-10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1.57673588001301E-2</v>
      </c>
      <c r="G247" s="14">
        <v>2.3462039906189801E-81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4.7198995822018503E-4</v>
      </c>
      <c r="G248" s="14">
        <v>7.0232734444981705E-83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1.10157098229209E-4</v>
      </c>
      <c r="G252" s="14">
        <v>1.6391522939038101E-83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1.3427443704501701E-2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1.44292059248912E-4</v>
      </c>
      <c r="G256" s="14">
        <v>2.14708506044547E-83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1.4306041205664E-2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1.19406071561795E-6</v>
      </c>
      <c r="G258" s="14">
        <v>1.7767782489994801E-85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7.1281060346300597E-20</v>
      </c>
      <c r="G260" s="14">
        <v>3.0041061964399898E-94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9.0488702423873602E-5</v>
      </c>
      <c r="G261" s="14">
        <v>1.34648394461014E-83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1.24582878164237E-2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4.2992554628511496E-9</v>
      </c>
      <c r="G264" s="14">
        <v>3.8447786656896198E-7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4.4438965141561003E-2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0.37748719799806701</v>
      </c>
      <c r="G266" s="14">
        <v>3.1353094658635402E-3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0.231197590148464</v>
      </c>
      <c r="G267" s="14">
        <v>3.3634133460599302E-4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1.4041072894267099E-5</v>
      </c>
      <c r="G268" s="14">
        <v>5.7223628249191795E-13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5.5359204852425096E-13</v>
      </c>
      <c r="G269" s="14">
        <v>2.82937324894556E-22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9.4670128287541E-7</v>
      </c>
      <c r="G270" s="14">
        <v>1.81705863572008E-19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2.8345511773170901E-14</v>
      </c>
      <c r="G271" s="14">
        <v>5.13918976644118E-17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7.0725827726578095E-13</v>
      </c>
      <c r="G272" s="14">
        <v>8.1413369491182705E-16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4.0246400324380201E-10</v>
      </c>
      <c r="G273" s="14">
        <v>3.7661176278686897E-14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1.9402882931992601E-14</v>
      </c>
      <c r="G274" s="14">
        <v>1.00048767240408E-17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1.9264958478615E-16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4.75021511984475E-4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1.06824360842003E-2</v>
      </c>
      <c r="G277" s="14">
        <v>4.5315839498988401E-4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2.4217960392803801E-15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6.9012968511976804E-4</v>
      </c>
      <c r="G279" s="14">
        <v>9.3510619294161397E-4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4.5868836018259101E-4</v>
      </c>
      <c r="G280" s="14">
        <v>7.9386136133530295E-9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2.2627798972487401E-13</v>
      </c>
      <c r="G281" s="14">
        <v>8.0484157650095597E-22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1.8466140190635899E-11</v>
      </c>
      <c r="G283" s="14">
        <v>6.5537777822149794E-20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3.14600329966718E-11</v>
      </c>
      <c r="G284" s="14">
        <v>4.4169190526722798E-92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2.57740247142244E-11</v>
      </c>
      <c r="G285" s="14">
        <v>3.6186160655440898E-92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1.7048898770033101E-10</v>
      </c>
      <c r="G286" s="14">
        <v>1.6071453106518499E-18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1.49859891613476E-5</v>
      </c>
      <c r="G287" s="14">
        <v>1.31970006851986E-15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1.8716963304521401E-11</v>
      </c>
      <c r="G288" s="14">
        <v>2.6278202517033201E-92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1.51615860584769E-11</v>
      </c>
      <c r="G289" s="14">
        <v>2.1286531497758301E-92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5.3290626075245902E-14</v>
      </c>
      <c r="G290" s="14">
        <v>7.4818860382469701E-95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1.7093353528123101E-5</v>
      </c>
      <c r="G291" s="14">
        <v>2.3998690300298499E-86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3.0458105120095301E-13</v>
      </c>
      <c r="G292" s="14">
        <v>4.2762505947618199E-94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5.8704875258204604E-14</v>
      </c>
      <c r="G293" s="14">
        <v>8.2420346488557099E-95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3.5159092100224301E-13</v>
      </c>
      <c r="G294" s="14">
        <v>2.0109015633668398E-21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8.3987440104382304E-11</v>
      </c>
      <c r="G295" s="14">
        <v>1.17916508358864E-91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3.4933464749732499E-5</v>
      </c>
      <c r="G296" s="14">
        <v>3.0755646033827998E-15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7.7951747784558301E-6</v>
      </c>
      <c r="G297" s="14">
        <v>1.0944252983305699E-86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3.28129570220565E-13</v>
      </c>
      <c r="G298" s="14">
        <v>2.8895831409004701E-23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3.6596852257029401E-9</v>
      </c>
      <c r="G299" s="14">
        <v>4.94159687822605E-7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2.5576374048396098E-4</v>
      </c>
      <c r="G300" s="14">
        <v>1.3195254828317199E-3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2.0365288299842399E-10</v>
      </c>
      <c r="G303" s="14">
        <v>5.8945371955615199E-11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2.3081639135477901E-10</v>
      </c>
      <c r="G305" s="14">
        <v>1.0373227732486201E-10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1.1487997118921799E-12</v>
      </c>
      <c r="G307" s="14">
        <v>1.0906025524587599E-19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2.5077586294672199E-2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1.02911023887077E-2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2.6154347413837099E-3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1.58906655785874E-3</v>
      </c>
      <c r="G311" s="14">
        <v>2.2310143018963702E-84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9.6307063870185096E-4</v>
      </c>
      <c r="G312" s="14">
        <v>2.4246586716501099E-12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9.6307064112651201E-6</v>
      </c>
      <c r="G314" s="14">
        <v>7.5529464654974101E-24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9.6307064112651201E-6</v>
      </c>
      <c r="G315" s="14">
        <v>7.0142262500838097E-23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9.1236907356076904E-7</v>
      </c>
      <c r="G316" s="14">
        <v>8.6426261799434107E-15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9.6307064112650405E-6</v>
      </c>
      <c r="G318" s="14">
        <v>6.8370557465632301E-20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2.7359860332709499E-4</v>
      </c>
      <c r="G319" s="14">
        <v>2.8840759140094599E-14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3.3458718220343003E-7</v>
      </c>
      <c r="G321" s="14">
        <v>2.1680076422205099E-16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1.1906570109219701E-3</v>
      </c>
      <c r="G323" s="14">
        <v>1.33342426382308E-5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7.0341461758284397E-5</v>
      </c>
      <c r="G324" s="14">
        <v>1.8888363262034801E-6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1.41587722190281E-4</v>
      </c>
      <c r="G325" s="14">
        <v>7.5103172063159797E-5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4.5275752882312201E-5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2.64844426309791E-3</v>
      </c>
      <c r="G327" s="14">
        <v>2.8956320506306202E-19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8.5702494001175199E-4</v>
      </c>
      <c r="G328" s="14">
        <v>2.3697668471937101E-7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3.0429623121072802E-8</v>
      </c>
      <c r="G329" s="14">
        <v>1.58262105156779E-12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7.1639230604573405E-4</v>
      </c>
      <c r="G330" s="14">
        <v>9.8713327196094004E-8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7.9649753767762199E-7</v>
      </c>
      <c r="G331" s="14">
        <v>4.0738929979405901E-16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2.7666374606618699E-12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3.57341843491278E-12</v>
      </c>
      <c r="G333" s="14">
        <v>5.0170004494294097E-93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1.30570883438485E-5</v>
      </c>
      <c r="G334" s="14">
        <v>7.4691883853996699E-14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1.2392545756537501E-5</v>
      </c>
      <c r="G335" s="14">
        <v>1.7398860156616501E-86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1.16680774952925E-5</v>
      </c>
      <c r="G336" s="14">
        <v>1.02751726991426E-15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6.2797269982580504E-12</v>
      </c>
      <c r="G337" s="14">
        <v>1.9008712174986801E-23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3.64272523218951E-12</v>
      </c>
      <c r="G338" s="14">
        <v>2.4226718650381201E-23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2.0651328302105802E-9</v>
      </c>
      <c r="G339" s="14">
        <v>1.12377319332749E-11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1.88654111076637E-13</v>
      </c>
      <c r="G340" s="14">
        <v>6.6966217320100805E-22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2.5966660957821001E-11</v>
      </c>
      <c r="G341" s="14">
        <v>2.4482109251919701E-19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3.8797844855029598E-12</v>
      </c>
      <c r="G342" s="14">
        <v>5.4471316085692504E-93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2.0015857006396601E-13</v>
      </c>
      <c r="G343" s="14">
        <v>2.8101820546872898E-94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2.5864993721767001E-12</v>
      </c>
      <c r="G344" s="14">
        <v>3.63138791300721E-93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2.7636657717271199E-11</v>
      </c>
      <c r="G345" s="14">
        <v>3.88012561959204E-92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6.05749755030118E-10</v>
      </c>
      <c r="G346" s="14">
        <v>2.1502192295436401E-18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6.9866532621225204E-7</v>
      </c>
      <c r="G347" s="14">
        <v>2.1148575561160401E-18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7.0144674186900799E-13</v>
      </c>
      <c r="G348" s="14">
        <v>2.1232768918089801E-24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2.5195141636807799E-10</v>
      </c>
      <c r="G349" s="14">
        <v>1.6756564629074699E-21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2.1574683691385001E-6</v>
      </c>
      <c r="G350" s="14">
        <v>1.17401897021926E-8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4.8507252191365102E-13</v>
      </c>
      <c r="G351" s="14">
        <v>2.6395953275835299E-15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4.1033899620972997E-6</v>
      </c>
      <c r="G352" s="14">
        <v>3.86879320057664E-14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1.33833721776657E-10</v>
      </c>
      <c r="G353" s="14">
        <v>1.8789958537802299E-91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7.6262273363353903E-7</v>
      </c>
      <c r="G354" s="14">
        <v>1.07070545111741E-87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1.9306683436430901E-8</v>
      </c>
      <c r="G356" s="14">
        <v>2.7106156539411599E-89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3.7482204129166298E-4</v>
      </c>
      <c r="G357" s="14">
        <v>5.2624185604567005E-85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3.9965971305559703E-15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4.8714019992187598E-14</v>
      </c>
      <c r="G360" s="14">
        <v>9.5320546530786205E-30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7.8575511889209208E-6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2.0672000410933101E-9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9.1928760611529707E-6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3.5262002112996998E-10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3.4104405849574901E-2</v>
      </c>
      <c r="G367" s="14">
        <v>4.7881831526683802E-83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1.30665332716913E-3</v>
      </c>
      <c r="G368" s="14">
        <v>1.83451237213309E-84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1.0210974130940899E-4</v>
      </c>
      <c r="G372" s="14">
        <v>1.4335981844033001E-85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5.1869118368242399E-3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2.0608981125911301E-4</v>
      </c>
      <c r="G376" s="14">
        <v>2.8934553692563099E-85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1.26984385695999E-2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2.0282327623910098E-6</v>
      </c>
      <c r="G378" s="14">
        <v>2.8475939400339201E-87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1.3126017765600199E-19</v>
      </c>
      <c r="G380" s="14">
        <v>5.2194839335490201E-96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1.0656368275237801E-4</v>
      </c>
      <c r="G381" s="14">
        <v>1.49613053718569E-85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7.9358241778174597E-3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2.4914782246774902E-9</v>
      </c>
      <c r="G384" s="14">
        <v>2.1022706899867998E-9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2.5041454254363701E-2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2.3330739725521899E-2</v>
      </c>
      <c r="G387" s="14">
        <v>0.16817686465678999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/>
      <c r="G388" s="14"/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/>
      <c r="G389" s="14">
        <v>-135213309.170486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/>
      <c r="G390" s="14">
        <v>-6467434.3985699899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/>
      <c r="G391" s="14">
        <v>-56359.758347601201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/>
      <c r="G392" s="14">
        <v>-2695.7630285697501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/>
      <c r="G393" s="14">
        <v>3.7154849870865099E-2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/>
      <c r="G394" s="14">
        <v>0.77678873772312296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/>
      <c r="G395" s="14">
        <v>-0.23469222557509101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/>
      <c r="G396" s="14">
        <v>20.9067925297214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/>
      <c r="G397" s="14">
        <v>6.2485861580758304E-6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/>
      <c r="G398" s="14"/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/>
      <c r="G399" s="14">
        <v>3.1353094658635402E-3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/>
      <c r="G400" s="14"/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/>
      <c r="G401" s="14"/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-45941569.250403002</v>
      </c>
      <c r="G402" s="14"/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-1934386.0620957599</v>
      </c>
      <c r="G403" s="14"/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1.0648184860988899E+38</v>
      </c>
      <c r="G404" s="14"/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4.4834559893783702E+36</v>
      </c>
      <c r="G405" s="14"/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28.385712902848699</v>
      </c>
      <c r="G406" s="14"/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674.159218059816</v>
      </c>
      <c r="G407" s="14"/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-8.4514580373844002</v>
      </c>
      <c r="G408" s="14"/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23.749948446500301</v>
      </c>
      <c r="G409" s="14"/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6.6225967965421496E-4</v>
      </c>
      <c r="G410" s="14"/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/>
      <c r="G411" s="14"/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0.37748719799806602</v>
      </c>
      <c r="G412" s="14"/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3.3105905615747301E-14</v>
      </c>
      <c r="G413" s="14">
        <v>2.8431766034866701E-93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1.13430455901719E-3</v>
      </c>
      <c r="G414" s="14">
        <v>3.9684504741835298E-10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1.8177661739485701E-12</v>
      </c>
      <c r="G415" s="14">
        <v>1.5611203379743001E-91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1.1705998586745001E-4</v>
      </c>
      <c r="G416" s="14">
        <v>6.3041971587055298E-13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2.6121172235562499E-5</v>
      </c>
      <c r="G417" s="14">
        <v>2.2433189600006202E-84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1.0943278500290901E-3</v>
      </c>
      <c r="G418" s="14">
        <v>5.8948859119493701E-12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5.1344354971755998E-9</v>
      </c>
      <c r="G419" s="14">
        <v>4.2408646391583099E-5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3.9465486280729098E-4</v>
      </c>
      <c r="G420" s="14">
        <v>0.124547321681294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6.5338911742507295E-10</v>
      </c>
      <c r="G423" s="14">
        <v>1.12682473137065E-8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2.6866338028165902E-10</v>
      </c>
      <c r="G425" s="14">
        <v>2.17366541213164E-8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4.5559237352763201E-10</v>
      </c>
      <c r="G427" s="14">
        <v>2.6456766513843502E-15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1.0272874860295299E-8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4.8617237782534197E-18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1.86256181176928E-3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5.3248685797681501E-3</v>
      </c>
      <c r="G431" s="14">
        <v>4.5730637724759297E-82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3.2271930591578498E-3</v>
      </c>
      <c r="G432" s="14">
        <v>4.9699903035329097E-10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3.2271930786473602E-5</v>
      </c>
      <c r="G434" s="14">
        <v>1.54817959606947E-21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3.2271930786473602E-5</v>
      </c>
      <c r="G435" s="14">
        <v>1.4377543932293001E-20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3.0572950670682301E-6</v>
      </c>
      <c r="G436" s="14">
        <v>1.7715387487623199E-12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3.2271930786473101E-5</v>
      </c>
      <c r="G438" s="14">
        <v>1.40143853162099E-17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9.1681282883029002E-4</v>
      </c>
      <c r="G439" s="14">
        <v>5.9116895682014397E-12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1.1211819689253199E-6</v>
      </c>
      <c r="G441" s="14">
        <v>4.4439149782128703E-14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3.8872865551012E-3</v>
      </c>
      <c r="G443" s="14">
        <v>3.75416636483793E-3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2.2406846786186699E-4</v>
      </c>
      <c r="G444" s="14">
        <v>4.5827603392118203E-4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6.72901608047943E-5</v>
      </c>
      <c r="G445" s="14">
        <v>1.6800678483940401E-2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1.35384557288748E-4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8.8747809662802404E-3</v>
      </c>
      <c r="G447" s="14">
        <v>3.4531924758977399E-16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2.3591532872843002E-3</v>
      </c>
      <c r="G448" s="14">
        <v>3.9903082555193598E-5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2.5532025808686499E-5</v>
      </c>
      <c r="G449" s="14">
        <v>8.1227627176862003E-8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1.27168275238469E-3</v>
      </c>
      <c r="G450" s="14">
        <v>1.0718691852724101E-5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2.32705877611384E-4</v>
      </c>
      <c r="G451" s="14">
        <v>7.2806584912066195E-12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6.0455868576007203E-6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0</v>
      </c>
      <c r="G453" s="14">
        <v>0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1.9242714330997299E-8</v>
      </c>
      <c r="G454" s="14">
        <v>6.7333552838133996E-15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2.09143327860671E-8</v>
      </c>
      <c r="G455" s="14">
        <v>1.7961490721642101E-87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1.8621515954006701E-8</v>
      </c>
      <c r="G456" s="14">
        <v>1.0030971253587E-16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2.21037291701634E-12</v>
      </c>
      <c r="G457" s="14">
        <v>4.09275369137325E-22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1.0858597927698599E-19</v>
      </c>
      <c r="G458" s="14">
        <v>8.1725051622040199E-24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2.0563427570920199E-14</v>
      </c>
      <c r="G459" s="14">
        <v>6.8448559107881798E-15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1.6531809277000901E-16</v>
      </c>
      <c r="G460" s="14">
        <v>3.11616194459981E-21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8.0110039769897607E-12</v>
      </c>
      <c r="G461" s="14">
        <v>4.6201683299383601E-18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6.4819126130371101E-20</v>
      </c>
      <c r="G462" s="14">
        <v>1.2581867196825E-93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2.63962551697768E-20</v>
      </c>
      <c r="G463" s="14">
        <v>1.0027096660297901E-93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1.8325529137694001E-17</v>
      </c>
      <c r="G464" s="14">
        <v>1.1214220412450801E-93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4.0125650111857599E-12</v>
      </c>
      <c r="G465" s="14">
        <v>3.4460410454218202E-91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5.98908540879225E-8</v>
      </c>
      <c r="G466" s="14">
        <v>1.30043343829915E-14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1.7746731968395102E-5</v>
      </c>
      <c r="G467" s="14">
        <v>3.2860067282901701E-15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2.4431136541567698E-13</v>
      </c>
      <c r="G468" s="14">
        <v>4.5236993040937499E-23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2.0188199959213E-14</v>
      </c>
      <c r="G469" s="14">
        <v>8.2130394094334207E-24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2.8452233269134098E-6</v>
      </c>
      <c r="G470" s="14">
        <v>9.4707672831140803E-7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2.1701071511974999E-16</v>
      </c>
      <c r="G471" s="14">
        <v>1.3443508895770101E-16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1.57817217817897E-4</v>
      </c>
      <c r="G472" s="14">
        <v>9.10175695550229E-11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1.47499431332135E-14</v>
      </c>
      <c r="G473" s="14">
        <v>1.2667435745712899E-93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1.1775172162305801E-14</v>
      </c>
      <c r="G474" s="14">
        <v>1.01126652091858E-93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6.2355648886693895E-4</v>
      </c>
      <c r="G476" s="14">
        <v>5.3551811591448599E-83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0</v>
      </c>
      <c r="G477" s="14">
        <v>0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5.0514048208691598E-3</v>
      </c>
      <c r="G480" s="14">
        <v>6.0462048233456506E-17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2.5315961139437199E-2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5.6263175447404801E-9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1.4591518361862499E-20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1.14252500956419E-2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1.82905597446954E-17</v>
      </c>
      <c r="G487" s="14">
        <v>1.1552912060665199E-93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5.83517313649729E-3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1.8088640305756298E-2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6.7964887030693502E-6</v>
      </c>
      <c r="G498" s="14">
        <v>5.8369095504328201E-85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1.13870257085053E-2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7.0539018949021396E-10</v>
      </c>
      <c r="G504" s="14">
        <v>3.6408189427892003E-8</v>
      </c>
      <c r="K504" s="14"/>
    </row>
    <row r="505" spans="1:11" x14ac:dyDescent="0.25">
      <c r="A505" s="9" t="s">
        <v>332</v>
      </c>
      <c r="C505" s="9">
        <v>4.6782964533549602</v>
      </c>
      <c r="F505" s="14">
        <v>9.1844958902213697E-2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1.7630014641930699E-2</v>
      </c>
      <c r="G506" s="14">
        <v>0.392292801859561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-286688549.99792498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-8569763.4112334307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-17224.1206342603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-514.86757599221596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3.7154849870865099E-2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1.2429596388747699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-1.1607366502840599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33.453496466673499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1.4575580158513E-5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1.1702498863980801E-2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-226447728.206541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-10926850.258262901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7.7860846296385702E+37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3.7570428071870299E+36</v>
      </c>
      <c r="K524" s="14"/>
    </row>
    <row r="525" spans="1:11" x14ac:dyDescent="0.25">
      <c r="A525" s="9" t="s">
        <v>13</v>
      </c>
      <c r="B525" s="9" t="s">
        <v>12</v>
      </c>
      <c r="F525" s="9">
        <v>34.032691980822896</v>
      </c>
      <c r="K525" s="14"/>
    </row>
    <row r="526" spans="1:11" x14ac:dyDescent="0.25">
      <c r="A526" s="9" t="s">
        <v>11</v>
      </c>
      <c r="B526" s="9" t="s">
        <v>10</v>
      </c>
      <c r="F526" s="9">
        <v>705.29252269953702</v>
      </c>
    </row>
    <row r="527" spans="1:11" x14ac:dyDescent="0.25">
      <c r="A527" s="9" t="s">
        <v>9</v>
      </c>
      <c r="B527" s="9" t="s">
        <v>8</v>
      </c>
      <c r="F527" s="9">
        <v>-37.741090391230699</v>
      </c>
    </row>
    <row r="528" spans="1:11" x14ac:dyDescent="0.25">
      <c r="A528" s="9" t="s">
        <v>7</v>
      </c>
      <c r="F528" s="9">
        <v>20.723971030471599</v>
      </c>
    </row>
    <row r="529" spans="1:6" x14ac:dyDescent="0.25">
      <c r="A529" s="9" t="s">
        <v>6</v>
      </c>
      <c r="B529" s="9" t="s">
        <v>5</v>
      </c>
      <c r="F529" s="9">
        <v>5.9999685792610905E-4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0.298423620048831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W532"/>
  <sheetViews>
    <sheetView tabSelected="1" topLeftCell="F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285156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317</v>
      </c>
      <c r="K1" s="9" t="s">
        <v>318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0.66225967965421495</v>
      </c>
      <c r="G26" s="5">
        <v>6.2485861580758003E-3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0.53472568413328403</v>
      </c>
      <c r="G27" s="18">
        <v>7.7790754710721196E-4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290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6.35264110611115E-6</v>
      </c>
      <c r="G28" s="18">
        <v>2.58898430194079E-13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2.418465347022739E-3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8.1662307424687204E-14</v>
      </c>
      <c r="G29" s="18">
        <v>4.1737078538341099E-23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2.1895201351657901E-7</v>
      </c>
      <c r="G30" s="18">
        <v>4.2024728831064202E-20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0.36518384273152343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1.9667154748253701E-14</v>
      </c>
      <c r="G31" s="18">
        <v>3.5657581780868199E-17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3.9780396404284598E-13</v>
      </c>
      <c r="G32" s="18">
        <v>4.5791703187811304E-16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0.13717886207937305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1.90330653561422E-10</v>
      </c>
      <c r="G33" s="18">
        <v>1.78104780483242E-14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7.9156773262728702E-15</v>
      </c>
      <c r="G34" s="18">
        <v>4.0816293183969598E-18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12.341695837373958</v>
      </c>
      <c r="P34" s="5">
        <f>14-(-LOG(P38))</f>
        <v>12.819612969040593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8.0270660327562796E-15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1.1637659386684301E-3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8.0270660327562796E-15</v>
      </c>
      <c r="P36" s="5">
        <f>F36</f>
        <v>1.1637659386684301E-3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2.6135459051748501E-2</v>
      </c>
      <c r="G37" s="18">
        <v>1.1086893085867501E-3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1.7630014641930699E-2</v>
      </c>
      <c r="P37" s="5">
        <f>$F$506</f>
        <v>1.7630014641930699E-2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5.5940443109653903E-15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4.5530682735027043E-13</v>
      </c>
      <c r="P38">
        <f>P36/P37</f>
        <v>6.6010491897185608E-2</v>
      </c>
      <c r="Q38">
        <f>P38*O38</f>
        <v>3.0055027637538311E-14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6.5338637182302695E-4</v>
      </c>
      <c r="G39" s="18">
        <v>8.8532004324568404E-4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1.6895925185206101E-4</v>
      </c>
      <c r="G40" s="18">
        <v>2.92421245727879E-9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5.4122224655417697E-14</v>
      </c>
      <c r="G41" s="18">
        <v>1.92505761025934E-22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5.2631880110024602E-12</v>
      </c>
      <c r="G43" s="18">
        <v>1.86794664689158E-20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7.2345352833462101E-12</v>
      </c>
      <c r="G44" s="18">
        <v>1.01571275318186E-92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5.2584109510737299E-12</v>
      </c>
      <c r="G45" s="18">
        <v>7.3826926751905302E-93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4.3002766363861999E-11</v>
      </c>
      <c r="G46" s="18">
        <v>4.05373363048032E-19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5.1968779514125503E-6</v>
      </c>
      <c r="G47" s="18">
        <v>4.5764881548544801E-16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5.2265477650050201E-12</v>
      </c>
      <c r="G48" s="18">
        <v>7.3379574666671701E-93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5.3033128871002403E-12</v>
      </c>
      <c r="G49" s="18">
        <v>7.4457340002769699E-93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2.1128255606389899E-14</v>
      </c>
      <c r="G50" s="18">
        <v>2.9663603578377E-95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5.4295739795658496E-6</v>
      </c>
      <c r="G51" s="18">
        <v>7.6230017815859001E-87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9.6747858607654796E-14</v>
      </c>
      <c r="G52" s="18">
        <v>1.3583185371566601E-94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2.0879903836858699E-14</v>
      </c>
      <c r="G53" s="18">
        <v>2.9314923186743799E-95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9.9568694715360798E-14</v>
      </c>
      <c r="G54" s="18">
        <v>5.6947671826894795E-22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2.6291311863812401E-11</v>
      </c>
      <c r="G55" s="18">
        <v>3.6912420372638203E-92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1.9390096548625701E-5</v>
      </c>
      <c r="G56" s="18">
        <v>1.7071165150197301E-15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3.6455711005656402E-6</v>
      </c>
      <c r="G57" s="18">
        <v>5.1183011962076599E-87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1.1875121969441099E-13</v>
      </c>
      <c r="G58" s="18">
        <v>1.04575007415419E-23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7.5642838067885594E-8</v>
      </c>
      <c r="G59" s="18">
        <v>1.02138951686651E-5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6.6427612955408403E-4</v>
      </c>
      <c r="G60" s="18">
        <v>3.4271053391886201E-3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2.48975021084547E-10</v>
      </c>
      <c r="G63" s="18">
        <v>7.2063429740885502E-11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1.23119978018979E-10</v>
      </c>
      <c r="G65" s="18">
        <v>5.5331926944759398E-11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7.7173063964083304E-13</v>
      </c>
      <c r="G67" s="18">
        <v>7.3263546002866501E-20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1.7124687078822101E-2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7.1455032372172997E-3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3.2949339436926599E-3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4.0835153797166499E-4</v>
      </c>
      <c r="G71" s="22">
        <v>5.73316527813523E-85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3.0373237784491299E-4</v>
      </c>
      <c r="G72" s="22">
        <v>7.6468673657755001E-13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4.5320747187515302E-7</v>
      </c>
      <c r="G74" s="18">
        <v>3.5543101686003801E-25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4.9756665137482802E-7</v>
      </c>
      <c r="G75" s="18">
        <v>3.6238723497554302E-24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1.4841352752231199E-7</v>
      </c>
      <c r="G76" s="18">
        <v>1.40588132104923E-15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6.7708201503710304E-7</v>
      </c>
      <c r="G78" s="18">
        <v>4.8067579719689197E-21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7.5933094644395504E-5</v>
      </c>
      <c r="G79" s="18">
        <v>8.0043102076177293E-15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4.9709712416696899E-8</v>
      </c>
      <c r="G81" s="18">
        <v>3.22101509395113E-17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1.07687741677307E-3</v>
      </c>
      <c r="G83" s="18">
        <v>1.2060017818031701E-5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7.9769589024237098E-6</v>
      </c>
      <c r="G84" s="22">
        <v>2.14200407141179E-7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5.0685110985060802E-5</v>
      </c>
      <c r="G85" s="22">
        <v>2.68851885775492E-5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3.1950238708110398E-5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1.1035184429574599E-3</v>
      </c>
      <c r="G87" s="18">
        <v>1.2065133544294201E-19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4.8869083706355601E-4</v>
      </c>
      <c r="G88" s="18">
        <v>1.3512831309024399E-7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1.25379253747089E-8</v>
      </c>
      <c r="G89" s="18">
        <v>6.5208775547597697E-13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3.4271222287454901E-4</v>
      </c>
      <c r="G90" s="18">
        <v>4.72230976033911E-8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1.1749414927152301E-7</v>
      </c>
      <c r="G91" s="18">
        <v>6.0095426460687199E-17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1.1075112588095201E-12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1.2820088833181099E-12</v>
      </c>
      <c r="G93" s="18">
        <v>1.79991211802668E-93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3.7232048952529099E-6</v>
      </c>
      <c r="G94" s="18">
        <v>2.1298254272123199E-14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3.9668793720939201E-6</v>
      </c>
      <c r="G95" s="18">
        <v>5.5694109030679797E-87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4.2600122676777301E-6</v>
      </c>
      <c r="G96" s="18">
        <v>3.75146306394646E-16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1.45216140179267E-12</v>
      </c>
      <c r="G97" s="18">
        <v>4.3956876032921897E-24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7.4687410169251601E-13</v>
      </c>
      <c r="G98" s="18">
        <v>4.9672450090574E-24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4.9682272118264697E-10</v>
      </c>
      <c r="G99" s="18">
        <v>2.7035358100628501E-12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5.4143179134576602E-14</v>
      </c>
      <c r="G100" s="18">
        <v>1.9219108874093401E-22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6.5898297152320603E-12</v>
      </c>
      <c r="G101" s="18">
        <v>6.2130795831593294E-20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1.0907638850099801E-12</v>
      </c>
      <c r="G102" s="18">
        <v>1.53140837016194E-93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7.0610166102136103E-14</v>
      </c>
      <c r="G103" s="18">
        <v>9.9135111524477202E-95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8.1585228539149502E-13</v>
      </c>
      <c r="G104" s="18">
        <v>1.14543856450918E-93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8.6513410340304406E-12</v>
      </c>
      <c r="G105" s="18">
        <v>1.2146291470328999E-92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1.72649769547341E-10</v>
      </c>
      <c r="G106" s="18">
        <v>6.1285184413902696E-19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1.60664769622709E-7</v>
      </c>
      <c r="G107" s="18">
        <v>4.8633170888890698E-19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1.6130438273781899E-13</v>
      </c>
      <c r="G108" s="18">
        <v>4.8826781560371196E-25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5.1403073507462602E-11</v>
      </c>
      <c r="G109" s="18">
        <v>3.4186706936488898E-22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5.1603334422161797E-7</v>
      </c>
      <c r="G110" s="18">
        <v>2.8080733142974501E-9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1.16021907553188E-13</v>
      </c>
      <c r="G111" s="18">
        <v>6.3135071817001296E-16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1.0350059685382499E-6</v>
      </c>
      <c r="G112" s="18">
        <v>9.7583317467355798E-15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3.7371892440752497E-11</v>
      </c>
      <c r="G113" s="18">
        <v>5.24693104337944E-92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2.6675487351226898E-7</v>
      </c>
      <c r="G114" s="18">
        <v>3.7451794260170302E-88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1.5738734898678701E-8</v>
      </c>
      <c r="G116" s="22">
        <v>2.20968357046181E-89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1.9755181355586099E-4</v>
      </c>
      <c r="G117" s="22">
        <v>2.77358376984904E-85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2.7738904212107399E-15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2.0712761923676501E-14</v>
      </c>
      <c r="G120" s="18">
        <v>4.0529436639462797E-30</v>
      </c>
      <c r="H120" s="17" t="s">
        <v>49</v>
      </c>
      <c r="I120" s="17">
        <f>W28*3+W33*1+W29*4</f>
        <v>98</v>
      </c>
      <c r="J120" s="17">
        <f>$W$33/I120</f>
        <v>0.31632653061224492</v>
      </c>
      <c r="K120" s="18">
        <f t="shared" si="2"/>
        <v>6.5519961187139957E-15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3.3756616807645299E-6</v>
      </c>
      <c r="G121" s="18">
        <v>0</v>
      </c>
      <c r="H121" s="17" t="s">
        <v>48</v>
      </c>
      <c r="I121" s="17">
        <f>I120-1</f>
        <v>97</v>
      </c>
      <c r="J121" s="17">
        <f t="shared" ref="J121:J128" si="3">$W$33/I121</f>
        <v>0.31958762886597936</v>
      </c>
      <c r="K121" s="18">
        <f t="shared" si="2"/>
        <v>1.0788197124092826E-6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8.9740546033934603E-10</v>
      </c>
      <c r="G122" s="18">
        <v>0</v>
      </c>
      <c r="H122" s="17" t="s">
        <v>253</v>
      </c>
      <c r="I122" s="17">
        <f>I121-1</f>
        <v>96</v>
      </c>
      <c r="J122" s="17">
        <f t="shared" si="3"/>
        <v>0.32291666666666669</v>
      </c>
      <c r="K122" s="18">
        <f t="shared" si="2"/>
        <v>2.8978717990124719E-10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4.0331090122134799E-6</v>
      </c>
      <c r="G123" s="18">
        <v>0</v>
      </c>
      <c r="H123" s="17" t="s">
        <v>254</v>
      </c>
      <c r="I123" s="17">
        <f>I122-1</f>
        <v>95</v>
      </c>
      <c r="J123" s="17">
        <f t="shared" si="3"/>
        <v>0.32631578947368423</v>
      </c>
      <c r="K123" s="18">
        <f t="shared" si="2"/>
        <v>1.3160671513538725E-6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f t="shared" si="3"/>
        <v>0.23484848484848486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f t="shared" si="3"/>
        <v>0.26956521739130435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3.7578891062568599E-10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1.04420859879672E-2</v>
      </c>
      <c r="G127" s="18">
        <v>1.4660457779804E-83</v>
      </c>
      <c r="H127" s="17" t="s">
        <v>42</v>
      </c>
      <c r="I127" s="17">
        <f>I126+2+I123</f>
        <v>136</v>
      </c>
      <c r="J127" s="17">
        <f t="shared" si="3"/>
        <v>0.22794117647058823</v>
      </c>
      <c r="K127" s="18">
        <f t="shared" si="2"/>
        <v>2.3801813649042881E-3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3.1257991853090602E-4</v>
      </c>
      <c r="G128" s="18">
        <v>4.38855292296726E-85</v>
      </c>
      <c r="H128" s="17" t="s">
        <v>41</v>
      </c>
      <c r="I128" s="17">
        <f>I127+2+I124</f>
        <v>270</v>
      </c>
      <c r="J128" s="17">
        <f t="shared" si="3"/>
        <v>0.11481481481481481</v>
      </c>
      <c r="K128" s="18">
        <f t="shared" si="2"/>
        <v>3.5888805460955873E-5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f t="shared" ref="J131" si="4">$W$33/I131</f>
        <v>0.12449799196787148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7.2952604584913805E-5</v>
      </c>
      <c r="G132" s="22">
        <v>1.02423843346655E-85</v>
      </c>
      <c r="H132" s="20" t="s">
        <v>37</v>
      </c>
      <c r="I132" s="20">
        <f>W35+I36*2</f>
        <v>58</v>
      </c>
      <c r="J132" s="20">
        <v>0</v>
      </c>
      <c r="K132" s="22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8.8924545663183006E-3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f t="shared" ref="J134" si="5">$W$33/I134</f>
        <v>0.12653061224489795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9.5558812934831494E-5</v>
      </c>
      <c r="G136" s="18">
        <v>1.3416245988910901E-85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9.4743142659830405E-3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7.9077826701282604E-7</v>
      </c>
      <c r="G138" s="22">
        <v>1.1102351972668301E-87</v>
      </c>
      <c r="H138" s="20" t="s">
        <v>31</v>
      </c>
      <c r="I138" s="20">
        <f>I137+I36*3</f>
        <v>107</v>
      </c>
      <c r="J138" s="20">
        <v>0</v>
      </c>
      <c r="K138" s="22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4.72065721903538E-20</v>
      </c>
      <c r="G140" s="22">
        <v>1.87714163964647E-96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5.99270190795601E-5</v>
      </c>
      <c r="G141" s="22">
        <v>8.41362093836223E-86</v>
      </c>
      <c r="H141" s="20" t="s">
        <v>28</v>
      </c>
      <c r="I141" s="20">
        <f>W32+I36*2</f>
        <v>74</v>
      </c>
      <c r="J141" s="20">
        <v>0</v>
      </c>
      <c r="K141" s="22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8.2506216983447705E-3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2.84722354557944E-9</v>
      </c>
      <c r="G144" s="14">
        <v>2.4024430751293301E-9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2.9430134818814999E-2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0.80742600004348697</v>
      </c>
      <c r="G147" s="14">
        <v>0.12449336976842799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9.5923718463851692E-6</v>
      </c>
      <c r="G148" s="14">
        <v>4.1433121612554403E-11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1.2330859017013601E-13</v>
      </c>
      <c r="G149" s="14">
        <v>6.6794435545069999E-21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3.3061353460458298E-7</v>
      </c>
      <c r="G150" s="14">
        <v>6.7254780150147402E-18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2.9697043852227998E-14</v>
      </c>
      <c r="G151" s="14">
        <v>5.7065039800697298E-15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6.0067670773879902E-13</v>
      </c>
      <c r="G152" s="14">
        <v>7.3283302861446802E-14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2.8739580471031999E-10</v>
      </c>
      <c r="G153" s="14">
        <v>2.8503212723258299E-12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1.19525279425223E-14</v>
      </c>
      <c r="G154" s="14">
        <v>6.5320845630363505E-16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1.2120722851416E-14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1.75726527587497E-3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3.9464065010562897E-2</v>
      </c>
      <c r="G157" s="14">
        <v>0.17743042674603399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8.4469045645149397E-15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9.8660146751524801E-4</v>
      </c>
      <c r="G159" s="14">
        <v>0.14168325775607299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2.5512537912662802E-4</v>
      </c>
      <c r="G160" s="14">
        <v>4.6797985709126801E-7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8.1723569044210099E-14</v>
      </c>
      <c r="G161" s="14">
        <v>3.0807890962203598E-20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7.9473176047053393E-12</v>
      </c>
      <c r="G163" s="14">
        <v>2.98939087921098E-18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1.09240159194405E-11</v>
      </c>
      <c r="G164" s="14">
        <v>1.62550811893524E-90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7.9401043316109795E-12</v>
      </c>
      <c r="G165" s="14">
        <v>1.1814981002780899E-90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6.4933390458430198E-11</v>
      </c>
      <c r="G166" s="14">
        <v>6.4874413634213697E-17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7.8471906278908406E-6</v>
      </c>
      <c r="G167" s="14">
        <v>7.3240378528504905E-14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7.8919915035956207E-12</v>
      </c>
      <c r="G168" s="14">
        <v>1.17433884738605E-90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8.0079054335140199E-12</v>
      </c>
      <c r="G169" s="14">
        <v>1.1915869945481899E-90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3.1903279416650498E-14</v>
      </c>
      <c r="G170" s="14">
        <v>4.7472504704186802E-93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8.1985573731452103E-6</v>
      </c>
      <c r="G171" s="14">
        <v>1.2199562571020599E-84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1.4608749646085901E-13</v>
      </c>
      <c r="G172" s="14">
        <v>2.1738014053005199E-92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3.1528272788342902E-14</v>
      </c>
      <c r="G173" s="14">
        <v>4.6914489846405599E-93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1.5034690737528899E-13</v>
      </c>
      <c r="G174" s="14">
        <v>9.1136891428302395E-20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3.9699399905396399E-11</v>
      </c>
      <c r="G175" s="14">
        <v>5.9073235831007603E-90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2.9278691039668701E-5</v>
      </c>
      <c r="G176" s="14">
        <v>2.7320044436186898E-13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5.50474566482606E-6</v>
      </c>
      <c r="G177" s="14">
        <v>8.19113486911381E-85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1.7931216914249401E-13</v>
      </c>
      <c r="G178" s="14">
        <v>1.6735787067649501E-21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1.14219301569712E-7</v>
      </c>
      <c r="G179" s="14">
        <v>1.6345929959634799E-3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1.0030448024571301E-3</v>
      </c>
      <c r="G180" s="14">
        <v>0.54846092419792603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3.7594772675054602E-10</v>
      </c>
      <c r="G183" s="14">
        <v>1.15327576379417E-8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1.8590891428459499E-10</v>
      </c>
      <c r="G185" s="14">
        <v>8.8551114676153195E-9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1.1652991467694001E-12</v>
      </c>
      <c r="G187" s="14">
        <v>1.1724819687119001E-17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2.5857964186742199E-2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1.0789579158659E-2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4.9752899729801504E-3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6.1660335139967701E-4</v>
      </c>
      <c r="G191" s="14">
        <v>9.1751399966303806E-83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4.5863033365325901E-4</v>
      </c>
      <c r="G192" s="14">
        <v>1.22377561456723E-10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6.8433499093857798E-7</v>
      </c>
      <c r="G194" s="14">
        <v>5.6881830204209003E-23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7.5131654041602201E-7</v>
      </c>
      <c r="G195" s="14">
        <v>5.7995076935473902E-22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2.24101711280087E-7</v>
      </c>
      <c r="G196" s="14">
        <v>2.2499190784658399E-13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1.0223814552482299E-6</v>
      </c>
      <c r="G198" s="14">
        <v>7.6925529237627105E-19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1.14657583689894E-4</v>
      </c>
      <c r="G199" s="14">
        <v>1.2809794096017701E-12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7.5060756292232403E-8</v>
      </c>
      <c r="G201" s="14">
        <v>5.1547902396900197E-15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1.6260651974695801E-3</v>
      </c>
      <c r="G203" s="14">
        <v>1.9300394541963901E-3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1.2045062001341701E-5</v>
      </c>
      <c r="G204" s="14">
        <v>3.4279819741997401E-5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7.6533590285196001E-5</v>
      </c>
      <c r="G205" s="14">
        <v>4.3026034845982299E-3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4.8244275908194398E-5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1.6662926596008999E-3</v>
      </c>
      <c r="G207" s="14">
        <v>1.9308581556006901E-17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7.3791422319220105E-4</v>
      </c>
      <c r="G208" s="14">
        <v>2.1625422082978198E-5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1.89320379299783E-8</v>
      </c>
      <c r="G209" s="14">
        <v>1.04357648111038E-10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5.1748918649779398E-4</v>
      </c>
      <c r="G210" s="14">
        <v>7.5574052127550398E-6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1.7741401580248701E-7</v>
      </c>
      <c r="G211" s="14">
        <v>9.6174438409589098E-15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1.6723217384875099E-12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1.93580995899899E-12</v>
      </c>
      <c r="G213" s="14">
        <v>2.8805110027977102E-91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5.6219712744657804E-6</v>
      </c>
      <c r="G214" s="14">
        <v>3.4084917345017101E-12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5.9899152763839397E-6</v>
      </c>
      <c r="G215" s="14">
        <v>8.9130737132750605E-85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6.4325405857442599E-6</v>
      </c>
      <c r="G216" s="14">
        <v>6.0036990273359503E-14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2.1927371488943501E-12</v>
      </c>
      <c r="G217" s="14">
        <v>7.0346915159537597E-22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1.1277662292267001E-12</v>
      </c>
      <c r="G218" s="14">
        <v>7.9493902834925799E-22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7.5019321943629797E-10</v>
      </c>
      <c r="G219" s="14">
        <v>4.3266360448095002E-10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8.1755209924370303E-14</v>
      </c>
      <c r="G220" s="14">
        <v>3.07575320046668E-20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9.9505223067072501E-12</v>
      </c>
      <c r="G221" s="14">
        <v>9.9431766258506606E-18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1.6470335104494101E-12</v>
      </c>
      <c r="G222" s="14">
        <v>2.45080780102987E-91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1.06620058975965E-13</v>
      </c>
      <c r="G223" s="14">
        <v>1.5865206787035E-92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1.2319220246315999E-12</v>
      </c>
      <c r="G224" s="14">
        <v>1.83311638110133E-91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1.3063366682005399E-11</v>
      </c>
      <c r="G225" s="14">
        <v>1.9438463618895399E-90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2.6069799332715899E-10</v>
      </c>
      <c r="G226" s="14">
        <v>9.8078481857366097E-17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2.42600862710828E-7</v>
      </c>
      <c r="G227" s="14">
        <v>7.7830679866734597E-17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2.4356666681269301E-13</v>
      </c>
      <c r="G228" s="14">
        <v>7.8140527033089699E-23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7.7617700558641302E-11</v>
      </c>
      <c r="G229" s="14">
        <v>5.4711107555595194E-20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7.7920090875991995E-7</v>
      </c>
      <c r="G230" s="14">
        <v>4.4939338968195802E-7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1.7519095774299101E-13</v>
      </c>
      <c r="G231" s="14">
        <v>1.01038971408603E-13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1.56284007668813E-6</v>
      </c>
      <c r="G232" s="14">
        <v>1.5616863559004799E-12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5.6430873853388602E-11</v>
      </c>
      <c r="G233" s="14">
        <v>8.3969891918641495E-90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4.0279497862764202E-7</v>
      </c>
      <c r="G234" s="14">
        <v>5.99364293181216E-86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2.37652017512169E-8</v>
      </c>
      <c r="G236" s="14">
        <v>3.5362936743793901E-87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2.9829962418821698E-4</v>
      </c>
      <c r="G237" s="14">
        <v>4.4387381396100398E-83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4.18852378671018E-15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3.1275891557358902E-14</v>
      </c>
      <c r="G240" s="14">
        <v>6.4861771309789396E-28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5.0971873790158304E-6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1.35506582675833E-9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6.0899208212695097E-6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5.6743437985216902E-10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1.57673588001301E-2</v>
      </c>
      <c r="G247" s="14">
        <v>2.3462039906189801E-81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4.7198995822018503E-4</v>
      </c>
      <c r="G248" s="14">
        <v>7.0232734444981705E-83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1.10157098229209E-4</v>
      </c>
      <c r="G252" s="14">
        <v>1.6391522939038101E-83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1.3427443704501701E-2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1.44292059248912E-4</v>
      </c>
      <c r="G256" s="14">
        <v>2.14708506044547E-83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1.4306041205664E-2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1.19406071561795E-6</v>
      </c>
      <c r="G258" s="14">
        <v>1.7767782489994801E-85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7.1281060346300597E-20</v>
      </c>
      <c r="G260" s="14">
        <v>3.0041061964399898E-94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9.0488702423873602E-5</v>
      </c>
      <c r="G261" s="14">
        <v>1.34648394461014E-83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1.24582878164237E-2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4.2992554628511496E-9</v>
      </c>
      <c r="G264" s="14">
        <v>3.8447786656896198E-7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4.4438965141561003E-2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0.37748719799806701</v>
      </c>
      <c r="G266" s="14">
        <v>3.1353094658635402E-3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0.231197590148464</v>
      </c>
      <c r="G267" s="14">
        <v>3.3634133460599302E-4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1.4041072894267099E-5</v>
      </c>
      <c r="G268" s="14">
        <v>5.7223628249191795E-13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5.5359204852425096E-13</v>
      </c>
      <c r="G269" s="14">
        <v>2.82937324894556E-22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9.4670128287541E-7</v>
      </c>
      <c r="G270" s="14">
        <v>1.81705863572008E-19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2.8345511773170901E-14</v>
      </c>
      <c r="G271" s="14">
        <v>5.13918976644118E-17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7.0725827726578095E-13</v>
      </c>
      <c r="G272" s="14">
        <v>8.1413369491182705E-16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4.0246400324380201E-10</v>
      </c>
      <c r="G273" s="14">
        <v>3.7661176278686897E-14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1.9402882931992601E-14</v>
      </c>
      <c r="G274" s="14">
        <v>1.00048767240408E-17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1.9264958478615E-16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4.75021511984475E-4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1.06824360842003E-2</v>
      </c>
      <c r="G277" s="14">
        <v>4.5315839498988401E-4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2.4217960392803801E-15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6.9012968511976804E-4</v>
      </c>
      <c r="G279" s="14">
        <v>9.3510619294161397E-4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4.5868836018259101E-4</v>
      </c>
      <c r="G280" s="14">
        <v>7.9386136133530295E-9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2.2627798972487401E-13</v>
      </c>
      <c r="G281" s="14">
        <v>8.0484157650095597E-22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1.8466140190635899E-11</v>
      </c>
      <c r="G283" s="14">
        <v>6.5537777822149794E-20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3.14600329966718E-11</v>
      </c>
      <c r="G284" s="14">
        <v>4.4169190526722798E-92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2.57740247142244E-11</v>
      </c>
      <c r="G285" s="14">
        <v>3.6186160655440898E-92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1.7048898770033101E-10</v>
      </c>
      <c r="G286" s="14">
        <v>1.6071453106518499E-18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1.49859891613476E-5</v>
      </c>
      <c r="G287" s="14">
        <v>1.31970006851986E-15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1.8716963304521401E-11</v>
      </c>
      <c r="G288" s="14">
        <v>2.6278202517033201E-92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1.51615860584769E-11</v>
      </c>
      <c r="G289" s="14">
        <v>2.1286531497758301E-92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5.3290626075245902E-14</v>
      </c>
      <c r="G290" s="14">
        <v>7.4818860382469701E-95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1.7093353528123101E-5</v>
      </c>
      <c r="G291" s="14">
        <v>2.3998690300298499E-86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3.0458105120095301E-13</v>
      </c>
      <c r="G292" s="14">
        <v>4.2762505947618199E-94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5.8704875258204604E-14</v>
      </c>
      <c r="G293" s="14">
        <v>8.2420346488557099E-95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3.5159092100224301E-13</v>
      </c>
      <c r="G294" s="14">
        <v>2.0109015633668398E-21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8.3987440104382304E-11</v>
      </c>
      <c r="G295" s="14">
        <v>1.17916508358864E-91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3.4933464749732499E-5</v>
      </c>
      <c r="G296" s="14">
        <v>3.0755646033827998E-15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7.7951747784558301E-6</v>
      </c>
      <c r="G297" s="14">
        <v>1.0944252983305699E-86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3.28129570220565E-13</v>
      </c>
      <c r="G298" s="14">
        <v>2.8895831409004701E-23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3.6596852257029401E-9</v>
      </c>
      <c r="G299" s="14">
        <v>4.94159687822605E-7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2.5576374048396098E-4</v>
      </c>
      <c r="G300" s="14">
        <v>1.3195254828317199E-3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2.0365288299842399E-10</v>
      </c>
      <c r="G303" s="14">
        <v>5.8945371955615199E-11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2.3081639135477901E-10</v>
      </c>
      <c r="G305" s="14">
        <v>1.0373227732486201E-10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1.1487997118921799E-12</v>
      </c>
      <c r="G307" s="14">
        <v>1.0906025524587599E-19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2.5077586294672199E-2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1.02911023887077E-2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2.6154347413837099E-3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1.58906655785874E-3</v>
      </c>
      <c r="G311" s="14">
        <v>2.2310143018963702E-84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9.6307063870185096E-4</v>
      </c>
      <c r="G312" s="14">
        <v>2.4246586716501099E-12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9.6307064112651201E-6</v>
      </c>
      <c r="G314" s="14">
        <v>7.5529464654974101E-24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9.6307064112651201E-6</v>
      </c>
      <c r="G315" s="14">
        <v>7.0142262500838097E-23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9.1236907356076904E-7</v>
      </c>
      <c r="G316" s="14">
        <v>8.6426261799434107E-15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9.6307064112650405E-6</v>
      </c>
      <c r="G318" s="14">
        <v>6.8370557465632301E-20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2.7359860332709499E-4</v>
      </c>
      <c r="G319" s="14">
        <v>2.8840759140094599E-14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3.3458718220343003E-7</v>
      </c>
      <c r="G321" s="14">
        <v>2.1680076422205099E-16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1.1906570109219701E-3</v>
      </c>
      <c r="G323" s="14">
        <v>1.33342426382308E-5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7.0341461758284397E-5</v>
      </c>
      <c r="G324" s="14">
        <v>1.8888363262034801E-6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1.41587722190281E-4</v>
      </c>
      <c r="G325" s="14">
        <v>7.5103172063159797E-5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4.5275752882312201E-5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2.64844426309791E-3</v>
      </c>
      <c r="G327" s="14">
        <v>2.8956320506306202E-19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8.5702494001175199E-4</v>
      </c>
      <c r="G328" s="14">
        <v>2.3697668471937101E-7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3.0429623121072802E-8</v>
      </c>
      <c r="G329" s="14">
        <v>1.58262105156779E-12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7.1639230604573405E-4</v>
      </c>
      <c r="G330" s="14">
        <v>9.8713327196094004E-8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7.9649753767762199E-7</v>
      </c>
      <c r="G331" s="14">
        <v>4.0738929979405901E-16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2.7666374606618699E-12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3.57341843491278E-12</v>
      </c>
      <c r="G333" s="14">
        <v>5.0170004494294097E-93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1.30570883438485E-5</v>
      </c>
      <c r="G334" s="14">
        <v>7.4691883853996699E-14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1.2392545756537501E-5</v>
      </c>
      <c r="G335" s="14">
        <v>1.7398860156616501E-86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1.16680774952925E-5</v>
      </c>
      <c r="G336" s="14">
        <v>1.02751726991426E-15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6.2797269982580504E-12</v>
      </c>
      <c r="G337" s="14">
        <v>1.9008712174986801E-23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3.64272523218951E-12</v>
      </c>
      <c r="G338" s="14">
        <v>2.4226718650381201E-23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2.0651328302105802E-9</v>
      </c>
      <c r="G339" s="14">
        <v>1.12377319332749E-11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1.88654111076637E-13</v>
      </c>
      <c r="G340" s="14">
        <v>6.6966217320100805E-22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2.5966660957821001E-11</v>
      </c>
      <c r="G341" s="14">
        <v>2.4482109251919701E-19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3.8797844855029598E-12</v>
      </c>
      <c r="G342" s="14">
        <v>5.4471316085692504E-93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2.0015857006396601E-13</v>
      </c>
      <c r="G343" s="14">
        <v>2.8101820546872898E-94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2.5864993721767001E-12</v>
      </c>
      <c r="G344" s="14">
        <v>3.63138791300721E-93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2.7636657717271199E-11</v>
      </c>
      <c r="G345" s="14">
        <v>3.88012561959204E-92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6.05749755030118E-10</v>
      </c>
      <c r="G346" s="14">
        <v>2.1502192295436401E-18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6.9866532621225204E-7</v>
      </c>
      <c r="G347" s="14">
        <v>2.1148575561160401E-18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7.0144674186900799E-13</v>
      </c>
      <c r="G348" s="14">
        <v>2.1232768918089801E-24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2.5195141636807799E-10</v>
      </c>
      <c r="G349" s="14">
        <v>1.6756564629074699E-21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2.1574683691385001E-6</v>
      </c>
      <c r="G350" s="14">
        <v>1.17401897021926E-8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4.8507252191365102E-13</v>
      </c>
      <c r="G351" s="14">
        <v>2.6395953275835299E-15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4.1033899620972997E-6</v>
      </c>
      <c r="G352" s="14">
        <v>3.86879320057664E-14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1.33833721776657E-10</v>
      </c>
      <c r="G353" s="14">
        <v>1.8789958537802299E-91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7.6262273363353903E-7</v>
      </c>
      <c r="G354" s="14">
        <v>1.07070545111741E-87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1.9306683436430901E-8</v>
      </c>
      <c r="G356" s="14">
        <v>2.7106156539411599E-89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3.7482204129166298E-4</v>
      </c>
      <c r="G357" s="14">
        <v>5.2624185604567005E-85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3.9965971305559703E-15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4.8714019992187598E-14</v>
      </c>
      <c r="G360" s="14">
        <v>9.5320546530786205E-30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7.8575511889209208E-6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2.0672000410933101E-9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9.1928760611529707E-6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3.5262002112996998E-10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3.4104405849574901E-2</v>
      </c>
      <c r="G367" s="14">
        <v>4.7881831526683802E-83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1.30665332716913E-3</v>
      </c>
      <c r="G368" s="14">
        <v>1.83451237213309E-84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1.0210974130940899E-4</v>
      </c>
      <c r="G372" s="14">
        <v>1.4335981844033001E-85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5.1869118368242399E-3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2.0608981125911301E-4</v>
      </c>
      <c r="G376" s="14">
        <v>2.8934553692563099E-85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1.26984385695999E-2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2.0282327623910098E-6</v>
      </c>
      <c r="G378" s="14">
        <v>2.8475939400339201E-87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1.3126017765600199E-19</v>
      </c>
      <c r="G380" s="14">
        <v>5.2194839335490201E-96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1.0656368275237801E-4</v>
      </c>
      <c r="G381" s="14">
        <v>1.49613053718569E-85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7.9358241778174597E-3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2.4914782246774902E-9</v>
      </c>
      <c r="G384" s="14">
        <v>2.1022706899867998E-9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2.5041454254363701E-2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2.3330739725521899E-2</v>
      </c>
      <c r="G387" s="14">
        <v>0.16817686465678999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/>
      <c r="G388" s="14"/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/>
      <c r="G389" s="14">
        <v>-135213309.170486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/>
      <c r="G390" s="14">
        <v>-6467434.3985699899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/>
      <c r="G391" s="14">
        <v>-56359.758347601201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/>
      <c r="G392" s="14">
        <v>-2695.7630285697501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/>
      <c r="G393" s="14">
        <v>3.7154849870865099E-2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/>
      <c r="G394" s="14">
        <v>0.77678873772312296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/>
      <c r="G395" s="14">
        <v>-0.23469222557509101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/>
      <c r="G396" s="14">
        <v>20.9067925297214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/>
      <c r="G397" s="14">
        <v>6.2485861580758304E-6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/>
      <c r="G398" s="14"/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/>
      <c r="G399" s="14">
        <v>3.1353094658635402E-3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/>
      <c r="G400" s="14"/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/>
      <c r="G401" s="14"/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-45941569.250403002</v>
      </c>
      <c r="G402" s="14"/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-1934386.0620957599</v>
      </c>
      <c r="G403" s="14"/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1.0648184860988899E+38</v>
      </c>
      <c r="G404" s="14"/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4.4834559893783702E+36</v>
      </c>
      <c r="G405" s="14"/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28.385712902848699</v>
      </c>
      <c r="G406" s="14"/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674.159218059816</v>
      </c>
      <c r="G407" s="14"/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-8.4514580373844002</v>
      </c>
      <c r="G408" s="14"/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23.749948446500301</v>
      </c>
      <c r="G409" s="14"/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6.6225967965421496E-4</v>
      </c>
      <c r="G410" s="14"/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/>
      <c r="G411" s="14"/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0.37748719799806602</v>
      </c>
      <c r="G412" s="14"/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3.3105905615747301E-14</v>
      </c>
      <c r="G413" s="14">
        <v>2.8431766034866701E-93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1.13430455901719E-3</v>
      </c>
      <c r="G414" s="14">
        <v>3.9684504741835298E-10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1.8177661739485701E-12</v>
      </c>
      <c r="G415" s="14">
        <v>1.5611203379743001E-91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1.1705998586745001E-4</v>
      </c>
      <c r="G416" s="14">
        <v>6.3041971587055298E-13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2.6121172235562499E-5</v>
      </c>
      <c r="G417" s="14">
        <v>2.2433189600006202E-84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1.0943278500290901E-3</v>
      </c>
      <c r="G418" s="14">
        <v>5.8948859119493701E-12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5.1344354971755998E-9</v>
      </c>
      <c r="G419" s="14">
        <v>4.2408646391583099E-5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3.9465486280729098E-4</v>
      </c>
      <c r="G420" s="14">
        <v>0.124547321681294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6.5338911742507295E-10</v>
      </c>
      <c r="G423" s="14">
        <v>1.12682473137065E-8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2.6866338028165902E-10</v>
      </c>
      <c r="G425" s="14">
        <v>2.17366541213164E-8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4.5559237352763201E-10</v>
      </c>
      <c r="G427" s="14">
        <v>2.6456766513843502E-15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1.0272874860295299E-8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4.8617237782534197E-18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1.86256181176928E-3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5.3248685797681501E-3</v>
      </c>
      <c r="G431" s="14">
        <v>4.5730637724759297E-82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3.2271930591578498E-3</v>
      </c>
      <c r="G432" s="14">
        <v>4.9699903035329097E-10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3.2271930786473602E-5</v>
      </c>
      <c r="G434" s="14">
        <v>1.54817959606947E-21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3.2271930786473602E-5</v>
      </c>
      <c r="G435" s="14">
        <v>1.4377543932293001E-20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3.0572950670682301E-6</v>
      </c>
      <c r="G436" s="14">
        <v>1.7715387487623199E-12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3.2271930786473101E-5</v>
      </c>
      <c r="G438" s="14">
        <v>1.40143853162099E-17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9.1681282883029002E-4</v>
      </c>
      <c r="G439" s="14">
        <v>5.9116895682014397E-12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1.1211819689253199E-6</v>
      </c>
      <c r="G441" s="14">
        <v>4.4439149782128703E-14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3.8872865551012E-3</v>
      </c>
      <c r="G443" s="14">
        <v>3.75416636483793E-3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2.2406846786186699E-4</v>
      </c>
      <c r="G444" s="14">
        <v>4.5827603392118203E-4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6.72901608047943E-5</v>
      </c>
      <c r="G445" s="14">
        <v>1.6800678483940401E-2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1.35384557288748E-4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8.8747809662802404E-3</v>
      </c>
      <c r="G447" s="14">
        <v>3.4531924758977399E-16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2.3591532872843002E-3</v>
      </c>
      <c r="G448" s="14">
        <v>3.9903082555193598E-5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2.5532025808686499E-5</v>
      </c>
      <c r="G449" s="14">
        <v>8.1227627176862003E-8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1.27168275238469E-3</v>
      </c>
      <c r="G450" s="14">
        <v>1.0718691852724101E-5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2.32705877611384E-4</v>
      </c>
      <c r="G451" s="14">
        <v>7.2806584912066195E-12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6.0455868576007203E-6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0</v>
      </c>
      <c r="G453" s="14">
        <v>0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1.9242714330997299E-8</v>
      </c>
      <c r="G454" s="14">
        <v>6.7333552838133996E-15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2.09143327860671E-8</v>
      </c>
      <c r="G455" s="14">
        <v>1.7961490721642101E-87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1.8621515954006701E-8</v>
      </c>
      <c r="G456" s="14">
        <v>1.0030971253587E-16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2.21037291701634E-12</v>
      </c>
      <c r="G457" s="14">
        <v>4.09275369137325E-22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1.0858597927698599E-19</v>
      </c>
      <c r="G458" s="14">
        <v>8.1725051622040199E-24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2.0563427570920199E-14</v>
      </c>
      <c r="G459" s="14">
        <v>6.8448559107881798E-15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1.6531809277000901E-16</v>
      </c>
      <c r="G460" s="14">
        <v>3.11616194459981E-21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8.0110039769897607E-12</v>
      </c>
      <c r="G461" s="14">
        <v>4.6201683299383601E-18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6.4819126130371101E-20</v>
      </c>
      <c r="G462" s="14">
        <v>1.2581867196825E-93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2.63962551697768E-20</v>
      </c>
      <c r="G463" s="14">
        <v>1.0027096660297901E-93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1.8325529137694001E-17</v>
      </c>
      <c r="G464" s="14">
        <v>1.1214220412450801E-93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4.0125650111857599E-12</v>
      </c>
      <c r="G465" s="14">
        <v>3.4460410454218202E-91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5.98908540879225E-8</v>
      </c>
      <c r="G466" s="14">
        <v>1.30043343829915E-14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1.7746731968395102E-5</v>
      </c>
      <c r="G467" s="14">
        <v>3.2860067282901701E-15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2.4431136541567698E-13</v>
      </c>
      <c r="G468" s="14">
        <v>4.5236993040937499E-23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2.0188199959213E-14</v>
      </c>
      <c r="G469" s="14">
        <v>8.2130394094334207E-24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2.8452233269134098E-6</v>
      </c>
      <c r="G470" s="14">
        <v>9.4707672831140803E-7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2.1701071511974999E-16</v>
      </c>
      <c r="G471" s="14">
        <v>1.3443508895770101E-16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1.57817217817897E-4</v>
      </c>
      <c r="G472" s="14">
        <v>9.10175695550229E-11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1.47499431332135E-14</v>
      </c>
      <c r="G473" s="14">
        <v>1.2667435745712899E-93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1.1775172162305801E-14</v>
      </c>
      <c r="G474" s="14">
        <v>1.01126652091858E-93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6.2355648886693895E-4</v>
      </c>
      <c r="G476" s="14">
        <v>5.3551811591448599E-83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0</v>
      </c>
      <c r="G477" s="14">
        <v>0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5.0514048208691598E-3</v>
      </c>
      <c r="G480" s="14">
        <v>6.0462048233456506E-17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2.5315961139437199E-2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5.6263175447404801E-9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1.4591518361862499E-20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1.14252500956419E-2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1.82905597446954E-17</v>
      </c>
      <c r="G487" s="14">
        <v>1.1552912060665199E-93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5.83517313649729E-3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1.8088640305756298E-2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6.7964887030693502E-6</v>
      </c>
      <c r="G498" s="14">
        <v>5.8369095504328201E-85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1.13870257085053E-2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7.0539018949021396E-10</v>
      </c>
      <c r="G504" s="14">
        <v>3.6408189427892003E-8</v>
      </c>
      <c r="K504" s="14"/>
    </row>
    <row r="505" spans="1:11" x14ac:dyDescent="0.25">
      <c r="A505" s="9" t="s">
        <v>332</v>
      </c>
      <c r="C505" s="9">
        <v>4.6782964533549602</v>
      </c>
      <c r="F505" s="14">
        <v>9.1844958902213697E-2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1.7630014641930699E-2</v>
      </c>
      <c r="G506" s="14">
        <v>0.392292801859561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-286688549.99792498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-8569763.4112334307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-17224.1206342603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-514.86757599221596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3.7154849870865099E-2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1.2429596388747699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-1.1607366502840599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33.453496466673499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1.4575580158513E-5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1.1702498863980801E-2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-226447728.206541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-10926850.258262901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7.7860846296385702E+37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3.7570428071870299E+36</v>
      </c>
      <c r="K524" s="14"/>
    </row>
    <row r="525" spans="1:11" x14ac:dyDescent="0.25">
      <c r="A525" s="9" t="s">
        <v>13</v>
      </c>
      <c r="B525" s="9" t="s">
        <v>12</v>
      </c>
      <c r="F525" s="9">
        <v>34.032691980822896</v>
      </c>
      <c r="K525" s="14"/>
    </row>
    <row r="526" spans="1:11" x14ac:dyDescent="0.25">
      <c r="A526" s="9" t="s">
        <v>11</v>
      </c>
      <c r="B526" s="9" t="s">
        <v>10</v>
      </c>
      <c r="F526" s="9">
        <v>705.29252269953702</v>
      </c>
    </row>
    <row r="527" spans="1:11" x14ac:dyDescent="0.25">
      <c r="A527" s="9" t="s">
        <v>9</v>
      </c>
      <c r="B527" s="9" t="s">
        <v>8</v>
      </c>
      <c r="F527" s="9">
        <v>-37.741090391230699</v>
      </c>
    </row>
    <row r="528" spans="1:11" x14ac:dyDescent="0.25">
      <c r="A528" s="9" t="s">
        <v>7</v>
      </c>
      <c r="F528" s="9">
        <v>20.723971030471599</v>
      </c>
    </row>
    <row r="529" spans="1:6" x14ac:dyDescent="0.25">
      <c r="A529" s="9" t="s">
        <v>6</v>
      </c>
      <c r="B529" s="9" t="s">
        <v>5</v>
      </c>
      <c r="F529" s="9">
        <v>5.9999685792610905E-4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0.298423620048831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W532"/>
  <sheetViews>
    <sheetView workbookViewId="0">
      <selection activeCell="F26" sqref="F26:G412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285156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321</v>
      </c>
      <c r="K1" s="9" t="s">
        <v>322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0.66225967965421495</v>
      </c>
      <c r="G26" s="5">
        <v>6.2485861580758003E-3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0.53472568413328403</v>
      </c>
      <c r="G27" s="18">
        <v>7.7790754710721196E-4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290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6.35264110611115E-6</v>
      </c>
      <c r="G28" s="18">
        <v>2.58898430194079E-13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8.9226418509741265E-3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8.1662307424687204E-14</v>
      </c>
      <c r="G29" s="18">
        <v>4.1737078538341099E-23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2.1895201351657901E-7</v>
      </c>
      <c r="G30" s="18">
        <v>4.2024728831064202E-20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1.3473025952044819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1.9667154748253701E-14</v>
      </c>
      <c r="G31" s="18">
        <v>3.5657581780868199E-17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3.9780396404284598E-13</v>
      </c>
      <c r="G32" s="18">
        <v>4.5791703187811304E-16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0.50610518664872706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1.90330653561422E-10</v>
      </c>
      <c r="G33" s="18">
        <v>1.78104780483242E-14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7.9156773262728702E-15</v>
      </c>
      <c r="G34" s="18">
        <v>4.0816293183969598E-18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12.341695837373958</v>
      </c>
      <c r="P34" s="5">
        <f>14-(-LOG(P38))</f>
        <v>12.819612969040593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8.0270660327562796E-15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1.1637659386684301E-3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8.0270660327562796E-15</v>
      </c>
      <c r="P36" s="5">
        <f>F36</f>
        <v>1.1637659386684301E-3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2.6135459051748501E-2</v>
      </c>
      <c r="G37" s="18">
        <v>1.1086893085867501E-3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1.7630014641930699E-2</v>
      </c>
      <c r="P37" s="5">
        <f>$F$506</f>
        <v>1.7630014641930699E-2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5.5940443109653903E-15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4.5530682735027043E-13</v>
      </c>
      <c r="P38">
        <f>P36/P37</f>
        <v>6.6010491897185608E-2</v>
      </c>
      <c r="Q38">
        <f>P38*O38</f>
        <v>3.0055027637538311E-14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6.5338637182302695E-4</v>
      </c>
      <c r="G39" s="18">
        <v>8.8532004324568404E-4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1.6895925185206101E-4</v>
      </c>
      <c r="G40" s="18">
        <v>2.92421245727879E-9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5.4122224655417697E-14</v>
      </c>
      <c r="G41" s="18">
        <v>1.92505761025934E-22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5.2631880110024602E-12</v>
      </c>
      <c r="G43" s="18">
        <v>1.86794664689158E-20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7.2345352833462101E-12</v>
      </c>
      <c r="G44" s="18">
        <v>1.01571275318186E-92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5.2584109510737299E-12</v>
      </c>
      <c r="G45" s="18">
        <v>7.3826926751905302E-93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4.3002766363861999E-11</v>
      </c>
      <c r="G46" s="18">
        <v>4.05373363048032E-19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5.1968779514125503E-6</v>
      </c>
      <c r="G47" s="18">
        <v>4.5764881548544801E-16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5.2265477650050201E-12</v>
      </c>
      <c r="G48" s="18">
        <v>7.3379574666671701E-93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5.3033128871002403E-12</v>
      </c>
      <c r="G49" s="18">
        <v>7.4457340002769699E-93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2.1128255606389899E-14</v>
      </c>
      <c r="G50" s="18">
        <v>2.9663603578377E-95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5.4295739795658496E-6</v>
      </c>
      <c r="G51" s="18">
        <v>7.6230017815859001E-87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9.6747858607654796E-14</v>
      </c>
      <c r="G52" s="18">
        <v>1.3583185371566601E-94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2.0879903836858699E-14</v>
      </c>
      <c r="G53" s="18">
        <v>2.9314923186743799E-95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9.9568694715360798E-14</v>
      </c>
      <c r="G54" s="18">
        <v>5.6947671826894795E-22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2.6291311863812401E-11</v>
      </c>
      <c r="G55" s="18">
        <v>3.6912420372638203E-92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1.9390096548625701E-5</v>
      </c>
      <c r="G56" s="18">
        <v>1.7071165150197301E-15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3.6455711005656402E-6</v>
      </c>
      <c r="G57" s="18">
        <v>5.1183011962076599E-87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1.1875121969441099E-13</v>
      </c>
      <c r="G58" s="18">
        <v>1.04575007415419E-23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7.5642838067885594E-8</v>
      </c>
      <c r="G59" s="18">
        <v>1.02138951686651E-5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6.6427612955408403E-4</v>
      </c>
      <c r="G60" s="18">
        <v>3.4271053391886201E-3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2.48975021084547E-10</v>
      </c>
      <c r="G63" s="18">
        <v>7.2063429740885502E-11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1.23119978018979E-10</v>
      </c>
      <c r="G65" s="18">
        <v>5.5331926944759398E-11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7.7173063964083304E-13</v>
      </c>
      <c r="G67" s="18">
        <v>7.3263546002866501E-20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1.7124687078822101E-2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7.1455032372172997E-3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3.2949339436926599E-3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4.0835153797166499E-4</v>
      </c>
      <c r="G71" s="22">
        <v>5.73316527813523E-85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3.0373237784491299E-4</v>
      </c>
      <c r="G72" s="22">
        <v>7.6468673657755001E-13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4.5320747187515302E-7</v>
      </c>
      <c r="G74" s="18">
        <v>3.5543101686003801E-25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4.9756665137482802E-7</v>
      </c>
      <c r="G75" s="18">
        <v>3.6238723497554302E-24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1.4841352752231199E-7</v>
      </c>
      <c r="G76" s="18">
        <v>1.40588132104923E-15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6.7708201503710304E-7</v>
      </c>
      <c r="G78" s="18">
        <v>4.8067579719689197E-21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7.5933094644395504E-5</v>
      </c>
      <c r="G79" s="18">
        <v>8.0043102076177293E-15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4.9709712416696899E-8</v>
      </c>
      <c r="G81" s="18">
        <v>3.22101509395113E-17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1.07687741677307E-3</v>
      </c>
      <c r="G83" s="18">
        <v>1.2060017818031701E-5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7.9769589024237098E-6</v>
      </c>
      <c r="G84" s="22">
        <v>2.14200407141179E-7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5.0685110985060802E-5</v>
      </c>
      <c r="G85" s="22">
        <v>2.68851885775492E-5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3.1950238708110398E-5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1.1035184429574599E-3</v>
      </c>
      <c r="G87" s="18">
        <v>1.2065133544294201E-19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4.8869083706355601E-4</v>
      </c>
      <c r="G88" s="18">
        <v>1.3512831309024399E-7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1.25379253747089E-8</v>
      </c>
      <c r="G89" s="18">
        <v>6.5208775547597697E-13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3.4271222287454901E-4</v>
      </c>
      <c r="G90" s="18">
        <v>4.72230976033911E-8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1.1749414927152301E-7</v>
      </c>
      <c r="G91" s="18">
        <v>6.0095426460687199E-17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1.1075112588095201E-12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1.2820088833181099E-12</v>
      </c>
      <c r="G93" s="18">
        <v>1.79991211802668E-93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3.7232048952529099E-6</v>
      </c>
      <c r="G94" s="18">
        <v>2.1298254272123199E-14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3.9668793720939201E-6</v>
      </c>
      <c r="G95" s="18">
        <v>5.5694109030679797E-87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4.2600122676777301E-6</v>
      </c>
      <c r="G96" s="18">
        <v>3.75146306394646E-16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1.45216140179267E-12</v>
      </c>
      <c r="G97" s="18">
        <v>4.3956876032921897E-24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7.4687410169251601E-13</v>
      </c>
      <c r="G98" s="18">
        <v>4.9672450090574E-24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4.9682272118264697E-10</v>
      </c>
      <c r="G99" s="18">
        <v>2.7035358100628501E-12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5.4143179134576602E-14</v>
      </c>
      <c r="G100" s="18">
        <v>1.9219108874093401E-22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6.5898297152320603E-12</v>
      </c>
      <c r="G101" s="18">
        <v>6.2130795831593294E-20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1.0907638850099801E-12</v>
      </c>
      <c r="G102" s="18">
        <v>1.53140837016194E-93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7.0610166102136103E-14</v>
      </c>
      <c r="G103" s="18">
        <v>9.9135111524477202E-95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8.1585228539149502E-13</v>
      </c>
      <c r="G104" s="18">
        <v>1.14543856450918E-93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8.6513410340304406E-12</v>
      </c>
      <c r="G105" s="18">
        <v>1.2146291470328999E-92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1.72649769547341E-10</v>
      </c>
      <c r="G106" s="18">
        <v>6.1285184413902696E-19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1.60664769622709E-7</v>
      </c>
      <c r="G107" s="18">
        <v>4.8633170888890698E-19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1.6130438273781899E-13</v>
      </c>
      <c r="G108" s="18">
        <v>4.8826781560371196E-25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5.1403073507462602E-11</v>
      </c>
      <c r="G109" s="18">
        <v>3.4186706936488898E-22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5.1603334422161797E-7</v>
      </c>
      <c r="G110" s="18">
        <v>2.8080733142974501E-9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1.16021907553188E-13</v>
      </c>
      <c r="G111" s="18">
        <v>6.3135071817001296E-16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1.0350059685382499E-6</v>
      </c>
      <c r="G112" s="18">
        <v>9.7583317467355798E-15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3.7371892440752497E-11</v>
      </c>
      <c r="G113" s="18">
        <v>5.24693104337944E-92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2.6675487351226898E-7</v>
      </c>
      <c r="G114" s="18">
        <v>3.7451794260170302E-88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1.5738734898678701E-8</v>
      </c>
      <c r="G116" s="22">
        <v>2.20968357046181E-89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1.9755181355586099E-4</v>
      </c>
      <c r="G117" s="22">
        <v>2.77358376984904E-85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2.7738904212107399E-15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2.0712761923676501E-14</v>
      </c>
      <c r="G120" s="18">
        <v>4.0529436639462797E-30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3.3756616807645299E-6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8.9740546033934603E-10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4.0331090122134799E-6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3.7578891062568599E-10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1.04420859879672E-2</v>
      </c>
      <c r="G127" s="18">
        <v>1.4660457779804E-83</v>
      </c>
      <c r="H127" s="17" t="s">
        <v>42</v>
      </c>
      <c r="I127" s="17">
        <f>I126+2+I123</f>
        <v>136</v>
      </c>
      <c r="J127" s="17">
        <v>0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3.1257991853090602E-4</v>
      </c>
      <c r="G128" s="18">
        <v>4.38855292296726E-85</v>
      </c>
      <c r="H128" s="17" t="s">
        <v>41</v>
      </c>
      <c r="I128" s="17">
        <f>I127+2+I124</f>
        <v>270</v>
      </c>
      <c r="J128" s="17">
        <v>0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7.2952604584913805E-5</v>
      </c>
      <c r="G132" s="22">
        <v>1.02423843346655E-85</v>
      </c>
      <c r="H132" s="20" t="s">
        <v>37</v>
      </c>
      <c r="I132" s="20">
        <f>W35+I36*2</f>
        <v>58</v>
      </c>
      <c r="J132" s="20">
        <f>$W$35/I132</f>
        <v>0.41379310344827586</v>
      </c>
      <c r="K132" s="22">
        <f t="shared" si="2"/>
        <v>3.0187284655826401E-5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8.8924545663183006E-3</v>
      </c>
      <c r="G133" s="18">
        <v>0</v>
      </c>
      <c r="H133" s="17" t="s">
        <v>257</v>
      </c>
      <c r="I133" s="17">
        <f>W35</f>
        <v>24</v>
      </c>
      <c r="J133" s="17">
        <f t="shared" ref="J133:J134" si="3">$W$35/I133</f>
        <v>1</v>
      </c>
      <c r="K133" s="18">
        <f t="shared" si="2"/>
        <v>8.8924545663183006E-3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f t="shared" si="3"/>
        <v>9.7959183673469383E-2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9.5558812934831494E-5</v>
      </c>
      <c r="G136" s="18">
        <v>1.3416245988910901E-85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9.4743142659830405E-3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7.9077826701282604E-7</v>
      </c>
      <c r="G138" s="22">
        <v>1.1102351972668301E-87</v>
      </c>
      <c r="H138" s="20" t="s">
        <v>31</v>
      </c>
      <c r="I138" s="20">
        <f>I137+I36*3</f>
        <v>107</v>
      </c>
      <c r="J138" s="20">
        <v>0</v>
      </c>
      <c r="K138" s="22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4.72065721903538E-20</v>
      </c>
      <c r="G140" s="22">
        <v>1.87714163964647E-96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5.99270190795601E-5</v>
      </c>
      <c r="G141" s="22">
        <v>8.41362093836223E-86</v>
      </c>
      <c r="H141" s="20" t="s">
        <v>28</v>
      </c>
      <c r="I141" s="20">
        <f>W32+I36*2</f>
        <v>74</v>
      </c>
      <c r="J141" s="20">
        <v>0</v>
      </c>
      <c r="K141" s="22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8.2506216983447705E-3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2.84722354557944E-9</v>
      </c>
      <c r="G144" s="14">
        <v>2.4024430751293301E-9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2.9430134818814999E-2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0.80742600004348697</v>
      </c>
      <c r="G147" s="14">
        <v>0.12449336976842799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9.5923718463851692E-6</v>
      </c>
      <c r="G148" s="14">
        <v>4.1433121612554403E-11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1.2330859017013601E-13</v>
      </c>
      <c r="G149" s="14">
        <v>6.6794435545069999E-21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3.3061353460458298E-7</v>
      </c>
      <c r="G150" s="14">
        <v>6.7254780150147402E-18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2.9697043852227998E-14</v>
      </c>
      <c r="G151" s="14">
        <v>5.7065039800697298E-15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6.0067670773879902E-13</v>
      </c>
      <c r="G152" s="14">
        <v>7.3283302861446802E-14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2.8739580471031999E-10</v>
      </c>
      <c r="G153" s="14">
        <v>2.8503212723258299E-12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1.19525279425223E-14</v>
      </c>
      <c r="G154" s="14">
        <v>6.5320845630363505E-16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1.2120722851416E-14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1.75726527587497E-3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3.9464065010562897E-2</v>
      </c>
      <c r="G157" s="14">
        <v>0.17743042674603399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8.4469045645149397E-15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9.8660146751524801E-4</v>
      </c>
      <c r="G159" s="14">
        <v>0.14168325775607299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2.5512537912662802E-4</v>
      </c>
      <c r="G160" s="14">
        <v>4.6797985709126801E-7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8.1723569044210099E-14</v>
      </c>
      <c r="G161" s="14">
        <v>3.0807890962203598E-20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7.9473176047053393E-12</v>
      </c>
      <c r="G163" s="14">
        <v>2.98939087921098E-18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1.09240159194405E-11</v>
      </c>
      <c r="G164" s="14">
        <v>1.62550811893524E-90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7.9401043316109795E-12</v>
      </c>
      <c r="G165" s="14">
        <v>1.1814981002780899E-90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6.4933390458430198E-11</v>
      </c>
      <c r="G166" s="14">
        <v>6.4874413634213697E-17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7.8471906278908406E-6</v>
      </c>
      <c r="G167" s="14">
        <v>7.3240378528504905E-14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7.8919915035956207E-12</v>
      </c>
      <c r="G168" s="14">
        <v>1.17433884738605E-90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8.0079054335140199E-12</v>
      </c>
      <c r="G169" s="14">
        <v>1.1915869945481899E-90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3.1903279416650498E-14</v>
      </c>
      <c r="G170" s="14">
        <v>4.7472504704186802E-93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8.1985573731452103E-6</v>
      </c>
      <c r="G171" s="14">
        <v>1.2199562571020599E-84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1.4608749646085901E-13</v>
      </c>
      <c r="G172" s="14">
        <v>2.1738014053005199E-92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3.1528272788342902E-14</v>
      </c>
      <c r="G173" s="14">
        <v>4.6914489846405599E-93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1.5034690737528899E-13</v>
      </c>
      <c r="G174" s="14">
        <v>9.1136891428302395E-20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3.9699399905396399E-11</v>
      </c>
      <c r="G175" s="14">
        <v>5.9073235831007603E-90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2.9278691039668701E-5</v>
      </c>
      <c r="G176" s="14">
        <v>2.7320044436186898E-13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5.50474566482606E-6</v>
      </c>
      <c r="G177" s="14">
        <v>8.19113486911381E-85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1.7931216914249401E-13</v>
      </c>
      <c r="G178" s="14">
        <v>1.6735787067649501E-21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1.14219301569712E-7</v>
      </c>
      <c r="G179" s="14">
        <v>1.6345929959634799E-3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1.0030448024571301E-3</v>
      </c>
      <c r="G180" s="14">
        <v>0.54846092419792603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3.7594772675054602E-10</v>
      </c>
      <c r="G183" s="14">
        <v>1.15327576379417E-8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1.8590891428459499E-10</v>
      </c>
      <c r="G185" s="14">
        <v>8.8551114676153195E-9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1.1652991467694001E-12</v>
      </c>
      <c r="G187" s="14">
        <v>1.1724819687119001E-17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2.5857964186742199E-2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1.0789579158659E-2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4.9752899729801504E-3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6.1660335139967701E-4</v>
      </c>
      <c r="G191" s="14">
        <v>9.1751399966303806E-83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4.5863033365325901E-4</v>
      </c>
      <c r="G192" s="14">
        <v>1.22377561456723E-10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6.8433499093857798E-7</v>
      </c>
      <c r="G194" s="14">
        <v>5.6881830204209003E-23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7.5131654041602201E-7</v>
      </c>
      <c r="G195" s="14">
        <v>5.7995076935473902E-22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2.24101711280087E-7</v>
      </c>
      <c r="G196" s="14">
        <v>2.2499190784658399E-13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1.0223814552482299E-6</v>
      </c>
      <c r="G198" s="14">
        <v>7.6925529237627105E-19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1.14657583689894E-4</v>
      </c>
      <c r="G199" s="14">
        <v>1.2809794096017701E-12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7.5060756292232403E-8</v>
      </c>
      <c r="G201" s="14">
        <v>5.1547902396900197E-15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1.6260651974695801E-3</v>
      </c>
      <c r="G203" s="14">
        <v>1.9300394541963901E-3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1.2045062001341701E-5</v>
      </c>
      <c r="G204" s="14">
        <v>3.4279819741997401E-5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7.6533590285196001E-5</v>
      </c>
      <c r="G205" s="14">
        <v>4.3026034845982299E-3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4.8244275908194398E-5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1.6662926596008999E-3</v>
      </c>
      <c r="G207" s="14">
        <v>1.9308581556006901E-17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7.3791422319220105E-4</v>
      </c>
      <c r="G208" s="14">
        <v>2.1625422082978198E-5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1.89320379299783E-8</v>
      </c>
      <c r="G209" s="14">
        <v>1.04357648111038E-10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5.1748918649779398E-4</v>
      </c>
      <c r="G210" s="14">
        <v>7.5574052127550398E-6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1.7741401580248701E-7</v>
      </c>
      <c r="G211" s="14">
        <v>9.6174438409589098E-15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1.6723217384875099E-12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1.93580995899899E-12</v>
      </c>
      <c r="G213" s="14">
        <v>2.8805110027977102E-91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5.6219712744657804E-6</v>
      </c>
      <c r="G214" s="14">
        <v>3.4084917345017101E-12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5.9899152763839397E-6</v>
      </c>
      <c r="G215" s="14">
        <v>8.9130737132750605E-85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6.4325405857442599E-6</v>
      </c>
      <c r="G216" s="14">
        <v>6.0036990273359503E-14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2.1927371488943501E-12</v>
      </c>
      <c r="G217" s="14">
        <v>7.0346915159537597E-22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1.1277662292267001E-12</v>
      </c>
      <c r="G218" s="14">
        <v>7.9493902834925799E-22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7.5019321943629797E-10</v>
      </c>
      <c r="G219" s="14">
        <v>4.3266360448095002E-10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8.1755209924370303E-14</v>
      </c>
      <c r="G220" s="14">
        <v>3.07575320046668E-20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9.9505223067072501E-12</v>
      </c>
      <c r="G221" s="14">
        <v>9.9431766258506606E-18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1.6470335104494101E-12</v>
      </c>
      <c r="G222" s="14">
        <v>2.45080780102987E-91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1.06620058975965E-13</v>
      </c>
      <c r="G223" s="14">
        <v>1.5865206787035E-92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1.2319220246315999E-12</v>
      </c>
      <c r="G224" s="14">
        <v>1.83311638110133E-91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1.3063366682005399E-11</v>
      </c>
      <c r="G225" s="14">
        <v>1.9438463618895399E-90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2.6069799332715899E-10</v>
      </c>
      <c r="G226" s="14">
        <v>9.8078481857366097E-17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2.42600862710828E-7</v>
      </c>
      <c r="G227" s="14">
        <v>7.7830679866734597E-17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2.4356666681269301E-13</v>
      </c>
      <c r="G228" s="14">
        <v>7.8140527033089699E-23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7.7617700558641302E-11</v>
      </c>
      <c r="G229" s="14">
        <v>5.4711107555595194E-20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7.7920090875991995E-7</v>
      </c>
      <c r="G230" s="14">
        <v>4.4939338968195802E-7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1.7519095774299101E-13</v>
      </c>
      <c r="G231" s="14">
        <v>1.01038971408603E-13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1.56284007668813E-6</v>
      </c>
      <c r="G232" s="14">
        <v>1.5616863559004799E-12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5.6430873853388602E-11</v>
      </c>
      <c r="G233" s="14">
        <v>8.3969891918641495E-90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4.0279497862764202E-7</v>
      </c>
      <c r="G234" s="14">
        <v>5.99364293181216E-86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2.37652017512169E-8</v>
      </c>
      <c r="G236" s="14">
        <v>3.5362936743793901E-87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2.9829962418821698E-4</v>
      </c>
      <c r="G237" s="14">
        <v>4.4387381396100398E-83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4.18852378671018E-15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3.1275891557358902E-14</v>
      </c>
      <c r="G240" s="14">
        <v>6.4861771309789396E-28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5.0971873790158304E-6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1.35506582675833E-9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6.0899208212695097E-6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5.6743437985216902E-10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1.57673588001301E-2</v>
      </c>
      <c r="G247" s="14">
        <v>2.3462039906189801E-81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4.7198995822018503E-4</v>
      </c>
      <c r="G248" s="14">
        <v>7.0232734444981705E-83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1.10157098229209E-4</v>
      </c>
      <c r="G252" s="14">
        <v>1.6391522939038101E-83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1.3427443704501701E-2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1.44292059248912E-4</v>
      </c>
      <c r="G256" s="14">
        <v>2.14708506044547E-83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1.4306041205664E-2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1.19406071561795E-6</v>
      </c>
      <c r="G258" s="14">
        <v>1.7767782489994801E-85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7.1281060346300597E-20</v>
      </c>
      <c r="G260" s="14">
        <v>3.0041061964399898E-94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9.0488702423873602E-5</v>
      </c>
      <c r="G261" s="14">
        <v>1.34648394461014E-83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1.24582878164237E-2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4.2992554628511496E-9</v>
      </c>
      <c r="G264" s="14">
        <v>3.8447786656896198E-7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4.4438965141561003E-2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0.37748719799806701</v>
      </c>
      <c r="G266" s="14">
        <v>3.1353094658635402E-3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0.231197590148464</v>
      </c>
      <c r="G267" s="14">
        <v>3.3634133460599302E-4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1.4041072894267099E-5</v>
      </c>
      <c r="G268" s="14">
        <v>5.7223628249191795E-13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5.5359204852425096E-13</v>
      </c>
      <c r="G269" s="14">
        <v>2.82937324894556E-22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9.4670128287541E-7</v>
      </c>
      <c r="G270" s="14">
        <v>1.81705863572008E-19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2.8345511773170901E-14</v>
      </c>
      <c r="G271" s="14">
        <v>5.13918976644118E-17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7.0725827726578095E-13</v>
      </c>
      <c r="G272" s="14">
        <v>8.1413369491182705E-16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4.0246400324380201E-10</v>
      </c>
      <c r="G273" s="14">
        <v>3.7661176278686897E-14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1.9402882931992601E-14</v>
      </c>
      <c r="G274" s="14">
        <v>1.00048767240408E-17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1.9264958478615E-16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4.75021511984475E-4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1.06824360842003E-2</v>
      </c>
      <c r="G277" s="14">
        <v>4.5315839498988401E-4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2.4217960392803801E-15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6.9012968511976804E-4</v>
      </c>
      <c r="G279" s="14">
        <v>9.3510619294161397E-4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4.5868836018259101E-4</v>
      </c>
      <c r="G280" s="14">
        <v>7.9386136133530295E-9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2.2627798972487401E-13</v>
      </c>
      <c r="G281" s="14">
        <v>8.0484157650095597E-22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1.8466140190635899E-11</v>
      </c>
      <c r="G283" s="14">
        <v>6.5537777822149794E-20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3.14600329966718E-11</v>
      </c>
      <c r="G284" s="14">
        <v>4.4169190526722798E-92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2.57740247142244E-11</v>
      </c>
      <c r="G285" s="14">
        <v>3.6186160655440898E-92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1.7048898770033101E-10</v>
      </c>
      <c r="G286" s="14">
        <v>1.6071453106518499E-18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1.49859891613476E-5</v>
      </c>
      <c r="G287" s="14">
        <v>1.31970006851986E-15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1.8716963304521401E-11</v>
      </c>
      <c r="G288" s="14">
        <v>2.6278202517033201E-92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1.51615860584769E-11</v>
      </c>
      <c r="G289" s="14">
        <v>2.1286531497758301E-92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5.3290626075245902E-14</v>
      </c>
      <c r="G290" s="14">
        <v>7.4818860382469701E-95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1.7093353528123101E-5</v>
      </c>
      <c r="G291" s="14">
        <v>2.3998690300298499E-86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3.0458105120095301E-13</v>
      </c>
      <c r="G292" s="14">
        <v>4.2762505947618199E-94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5.8704875258204604E-14</v>
      </c>
      <c r="G293" s="14">
        <v>8.2420346488557099E-95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3.5159092100224301E-13</v>
      </c>
      <c r="G294" s="14">
        <v>2.0109015633668398E-21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8.3987440104382304E-11</v>
      </c>
      <c r="G295" s="14">
        <v>1.17916508358864E-91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3.4933464749732499E-5</v>
      </c>
      <c r="G296" s="14">
        <v>3.0755646033827998E-15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7.7951747784558301E-6</v>
      </c>
      <c r="G297" s="14">
        <v>1.0944252983305699E-86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3.28129570220565E-13</v>
      </c>
      <c r="G298" s="14">
        <v>2.8895831409004701E-23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3.6596852257029401E-9</v>
      </c>
      <c r="G299" s="14">
        <v>4.94159687822605E-7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2.5576374048396098E-4</v>
      </c>
      <c r="G300" s="14">
        <v>1.3195254828317199E-3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2.0365288299842399E-10</v>
      </c>
      <c r="G303" s="14">
        <v>5.8945371955615199E-11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2.3081639135477901E-10</v>
      </c>
      <c r="G305" s="14">
        <v>1.0373227732486201E-10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1.1487997118921799E-12</v>
      </c>
      <c r="G307" s="14">
        <v>1.0906025524587599E-19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2.5077586294672199E-2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1.02911023887077E-2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2.6154347413837099E-3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1.58906655785874E-3</v>
      </c>
      <c r="G311" s="14">
        <v>2.2310143018963702E-84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9.6307063870185096E-4</v>
      </c>
      <c r="G312" s="14">
        <v>2.4246586716501099E-12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9.6307064112651201E-6</v>
      </c>
      <c r="G314" s="14">
        <v>7.5529464654974101E-24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9.6307064112651201E-6</v>
      </c>
      <c r="G315" s="14">
        <v>7.0142262500838097E-23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9.1236907356076904E-7</v>
      </c>
      <c r="G316" s="14">
        <v>8.6426261799434107E-15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9.6307064112650405E-6</v>
      </c>
      <c r="G318" s="14">
        <v>6.8370557465632301E-20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2.7359860332709499E-4</v>
      </c>
      <c r="G319" s="14">
        <v>2.8840759140094599E-14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3.3458718220343003E-7</v>
      </c>
      <c r="G321" s="14">
        <v>2.1680076422205099E-16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1.1906570109219701E-3</v>
      </c>
      <c r="G323" s="14">
        <v>1.33342426382308E-5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7.0341461758284397E-5</v>
      </c>
      <c r="G324" s="14">
        <v>1.8888363262034801E-6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1.41587722190281E-4</v>
      </c>
      <c r="G325" s="14">
        <v>7.5103172063159797E-5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4.5275752882312201E-5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2.64844426309791E-3</v>
      </c>
      <c r="G327" s="14">
        <v>2.8956320506306202E-19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8.5702494001175199E-4</v>
      </c>
      <c r="G328" s="14">
        <v>2.3697668471937101E-7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3.0429623121072802E-8</v>
      </c>
      <c r="G329" s="14">
        <v>1.58262105156779E-12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7.1639230604573405E-4</v>
      </c>
      <c r="G330" s="14">
        <v>9.8713327196094004E-8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7.9649753767762199E-7</v>
      </c>
      <c r="G331" s="14">
        <v>4.0738929979405901E-16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2.7666374606618699E-12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3.57341843491278E-12</v>
      </c>
      <c r="G333" s="14">
        <v>5.0170004494294097E-93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1.30570883438485E-5</v>
      </c>
      <c r="G334" s="14">
        <v>7.4691883853996699E-14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1.2392545756537501E-5</v>
      </c>
      <c r="G335" s="14">
        <v>1.7398860156616501E-86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1.16680774952925E-5</v>
      </c>
      <c r="G336" s="14">
        <v>1.02751726991426E-15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6.2797269982580504E-12</v>
      </c>
      <c r="G337" s="14">
        <v>1.9008712174986801E-23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3.64272523218951E-12</v>
      </c>
      <c r="G338" s="14">
        <v>2.4226718650381201E-23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2.0651328302105802E-9</v>
      </c>
      <c r="G339" s="14">
        <v>1.12377319332749E-11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1.88654111076637E-13</v>
      </c>
      <c r="G340" s="14">
        <v>6.6966217320100805E-22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2.5966660957821001E-11</v>
      </c>
      <c r="G341" s="14">
        <v>2.4482109251919701E-19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3.8797844855029598E-12</v>
      </c>
      <c r="G342" s="14">
        <v>5.4471316085692504E-93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2.0015857006396601E-13</v>
      </c>
      <c r="G343" s="14">
        <v>2.8101820546872898E-94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2.5864993721767001E-12</v>
      </c>
      <c r="G344" s="14">
        <v>3.63138791300721E-93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2.7636657717271199E-11</v>
      </c>
      <c r="G345" s="14">
        <v>3.88012561959204E-92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6.05749755030118E-10</v>
      </c>
      <c r="G346" s="14">
        <v>2.1502192295436401E-18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6.9866532621225204E-7</v>
      </c>
      <c r="G347" s="14">
        <v>2.1148575561160401E-18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7.0144674186900799E-13</v>
      </c>
      <c r="G348" s="14">
        <v>2.1232768918089801E-24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2.5195141636807799E-10</v>
      </c>
      <c r="G349" s="14">
        <v>1.6756564629074699E-21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2.1574683691385001E-6</v>
      </c>
      <c r="G350" s="14">
        <v>1.17401897021926E-8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4.8507252191365102E-13</v>
      </c>
      <c r="G351" s="14">
        <v>2.6395953275835299E-15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4.1033899620972997E-6</v>
      </c>
      <c r="G352" s="14">
        <v>3.86879320057664E-14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1.33833721776657E-10</v>
      </c>
      <c r="G353" s="14">
        <v>1.8789958537802299E-91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7.6262273363353903E-7</v>
      </c>
      <c r="G354" s="14">
        <v>1.07070545111741E-87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1.9306683436430901E-8</v>
      </c>
      <c r="G356" s="14">
        <v>2.7106156539411599E-89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3.7482204129166298E-4</v>
      </c>
      <c r="G357" s="14">
        <v>5.2624185604567005E-85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3.9965971305559703E-15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4.8714019992187598E-14</v>
      </c>
      <c r="G360" s="14">
        <v>9.5320546530786205E-30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7.8575511889209208E-6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2.0672000410933101E-9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9.1928760611529707E-6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3.5262002112996998E-10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3.4104405849574901E-2</v>
      </c>
      <c r="G367" s="14">
        <v>4.7881831526683802E-83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1.30665332716913E-3</v>
      </c>
      <c r="G368" s="14">
        <v>1.83451237213309E-84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1.0210974130940899E-4</v>
      </c>
      <c r="G372" s="14">
        <v>1.4335981844033001E-85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5.1869118368242399E-3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2.0608981125911301E-4</v>
      </c>
      <c r="G376" s="14">
        <v>2.8934553692563099E-85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1.26984385695999E-2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2.0282327623910098E-6</v>
      </c>
      <c r="G378" s="14">
        <v>2.8475939400339201E-87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1.3126017765600199E-19</v>
      </c>
      <c r="G380" s="14">
        <v>5.2194839335490201E-96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1.0656368275237801E-4</v>
      </c>
      <c r="G381" s="14">
        <v>1.49613053718569E-85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7.9358241778174597E-3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2.4914782246774902E-9</v>
      </c>
      <c r="G384" s="14">
        <v>2.1022706899867998E-9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2.5041454254363701E-2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2.3330739725521899E-2</v>
      </c>
      <c r="G387" s="14">
        <v>0.16817686465678999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/>
      <c r="G388" s="14"/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/>
      <c r="G389" s="14">
        <v>-135213309.170486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/>
      <c r="G390" s="14">
        <v>-6467434.3985699899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/>
      <c r="G391" s="14">
        <v>-56359.758347601201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/>
      <c r="G392" s="14">
        <v>-2695.7630285697501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/>
      <c r="G393" s="14">
        <v>3.7154849870865099E-2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/>
      <c r="G394" s="14">
        <v>0.77678873772312296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/>
      <c r="G395" s="14">
        <v>-0.23469222557509101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/>
      <c r="G396" s="14">
        <v>20.9067925297214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/>
      <c r="G397" s="14">
        <v>6.2485861580758304E-6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/>
      <c r="G398" s="14"/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/>
      <c r="G399" s="14">
        <v>3.1353094658635402E-3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/>
      <c r="G400" s="14"/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/>
      <c r="G401" s="14"/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-45941569.250403002</v>
      </c>
      <c r="G402" s="14"/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-1934386.0620957599</v>
      </c>
      <c r="G403" s="14"/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1.0648184860988899E+38</v>
      </c>
      <c r="G404" s="14"/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4.4834559893783702E+36</v>
      </c>
      <c r="G405" s="14"/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28.385712902848699</v>
      </c>
      <c r="G406" s="14"/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674.159218059816</v>
      </c>
      <c r="G407" s="14"/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-8.4514580373844002</v>
      </c>
      <c r="G408" s="14"/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23.749948446500301</v>
      </c>
      <c r="G409" s="14"/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6.6225967965421496E-4</v>
      </c>
      <c r="G410" s="14"/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/>
      <c r="G411" s="14"/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0.37748719799806602</v>
      </c>
      <c r="G412" s="14"/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3.3105905615747301E-14</v>
      </c>
      <c r="G413" s="14">
        <v>2.8431766034866701E-93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1.13430455901719E-3</v>
      </c>
      <c r="G414" s="14">
        <v>3.9684504741835298E-10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1.8177661739485701E-12</v>
      </c>
      <c r="G415" s="14">
        <v>1.5611203379743001E-91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1.1705998586745001E-4</v>
      </c>
      <c r="G416" s="14">
        <v>6.3041971587055298E-13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2.6121172235562499E-5</v>
      </c>
      <c r="G417" s="14">
        <v>2.2433189600006202E-84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1.0943278500290901E-3</v>
      </c>
      <c r="G418" s="14">
        <v>5.8948859119493701E-12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5.1344354971755998E-9</v>
      </c>
      <c r="G419" s="14">
        <v>4.2408646391583099E-5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3.9465486280729098E-4</v>
      </c>
      <c r="G420" s="14">
        <v>0.124547321681294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6.5338911742507295E-10</v>
      </c>
      <c r="G423" s="14">
        <v>1.12682473137065E-8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2.6866338028165902E-10</v>
      </c>
      <c r="G425" s="14">
        <v>2.17366541213164E-8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4.5559237352763201E-10</v>
      </c>
      <c r="G427" s="14">
        <v>2.6456766513843502E-15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1.0272874860295299E-8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4.8617237782534197E-18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1.86256181176928E-3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5.3248685797681501E-3</v>
      </c>
      <c r="G431" s="14">
        <v>4.5730637724759297E-82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3.2271930591578498E-3</v>
      </c>
      <c r="G432" s="14">
        <v>4.9699903035329097E-10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3.2271930786473602E-5</v>
      </c>
      <c r="G434" s="14">
        <v>1.54817959606947E-21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3.2271930786473602E-5</v>
      </c>
      <c r="G435" s="14">
        <v>1.4377543932293001E-20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3.0572950670682301E-6</v>
      </c>
      <c r="G436" s="14">
        <v>1.7715387487623199E-12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3.2271930786473101E-5</v>
      </c>
      <c r="G438" s="14">
        <v>1.40143853162099E-17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9.1681282883029002E-4</v>
      </c>
      <c r="G439" s="14">
        <v>5.9116895682014397E-12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1.1211819689253199E-6</v>
      </c>
      <c r="G441" s="14">
        <v>4.4439149782128703E-14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3.8872865551012E-3</v>
      </c>
      <c r="G443" s="14">
        <v>3.75416636483793E-3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2.2406846786186699E-4</v>
      </c>
      <c r="G444" s="14">
        <v>4.5827603392118203E-4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6.72901608047943E-5</v>
      </c>
      <c r="G445" s="14">
        <v>1.6800678483940401E-2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1.35384557288748E-4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8.8747809662802404E-3</v>
      </c>
      <c r="G447" s="14">
        <v>3.4531924758977399E-16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2.3591532872843002E-3</v>
      </c>
      <c r="G448" s="14">
        <v>3.9903082555193598E-5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2.5532025808686499E-5</v>
      </c>
      <c r="G449" s="14">
        <v>8.1227627176862003E-8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1.27168275238469E-3</v>
      </c>
      <c r="G450" s="14">
        <v>1.0718691852724101E-5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2.32705877611384E-4</v>
      </c>
      <c r="G451" s="14">
        <v>7.2806584912066195E-12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6.0455868576007203E-6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0</v>
      </c>
      <c r="G453" s="14">
        <v>0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1.9242714330997299E-8</v>
      </c>
      <c r="G454" s="14">
        <v>6.7333552838133996E-15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2.09143327860671E-8</v>
      </c>
      <c r="G455" s="14">
        <v>1.7961490721642101E-87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1.8621515954006701E-8</v>
      </c>
      <c r="G456" s="14">
        <v>1.0030971253587E-16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2.21037291701634E-12</v>
      </c>
      <c r="G457" s="14">
        <v>4.09275369137325E-22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1.0858597927698599E-19</v>
      </c>
      <c r="G458" s="14">
        <v>8.1725051622040199E-24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2.0563427570920199E-14</v>
      </c>
      <c r="G459" s="14">
        <v>6.8448559107881798E-15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1.6531809277000901E-16</v>
      </c>
      <c r="G460" s="14">
        <v>3.11616194459981E-21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8.0110039769897607E-12</v>
      </c>
      <c r="G461" s="14">
        <v>4.6201683299383601E-18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6.4819126130371101E-20</v>
      </c>
      <c r="G462" s="14">
        <v>1.2581867196825E-93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2.63962551697768E-20</v>
      </c>
      <c r="G463" s="14">
        <v>1.0027096660297901E-93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1.8325529137694001E-17</v>
      </c>
      <c r="G464" s="14">
        <v>1.1214220412450801E-93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4.0125650111857599E-12</v>
      </c>
      <c r="G465" s="14">
        <v>3.4460410454218202E-91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5.98908540879225E-8</v>
      </c>
      <c r="G466" s="14">
        <v>1.30043343829915E-14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1.7746731968395102E-5</v>
      </c>
      <c r="G467" s="14">
        <v>3.2860067282901701E-15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2.4431136541567698E-13</v>
      </c>
      <c r="G468" s="14">
        <v>4.5236993040937499E-23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2.0188199959213E-14</v>
      </c>
      <c r="G469" s="14">
        <v>8.2130394094334207E-24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2.8452233269134098E-6</v>
      </c>
      <c r="G470" s="14">
        <v>9.4707672831140803E-7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2.1701071511974999E-16</v>
      </c>
      <c r="G471" s="14">
        <v>1.3443508895770101E-16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1.57817217817897E-4</v>
      </c>
      <c r="G472" s="14">
        <v>9.10175695550229E-11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1.47499431332135E-14</v>
      </c>
      <c r="G473" s="14">
        <v>1.2667435745712899E-93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1.1775172162305801E-14</v>
      </c>
      <c r="G474" s="14">
        <v>1.01126652091858E-93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6.2355648886693895E-4</v>
      </c>
      <c r="G476" s="14">
        <v>5.3551811591448599E-83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0</v>
      </c>
      <c r="G477" s="14">
        <v>0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5.0514048208691598E-3</v>
      </c>
      <c r="G480" s="14">
        <v>6.0462048233456506E-17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2.5315961139437199E-2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5.6263175447404801E-9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1.4591518361862499E-20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1.14252500956419E-2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1.82905597446954E-17</v>
      </c>
      <c r="G487" s="14">
        <v>1.1552912060665199E-93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5.83517313649729E-3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1.8088640305756298E-2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6.7964887030693502E-6</v>
      </c>
      <c r="G498" s="14">
        <v>5.8369095504328201E-85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1.13870257085053E-2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7.0539018949021396E-10</v>
      </c>
      <c r="G504" s="14">
        <v>3.6408189427892003E-8</v>
      </c>
      <c r="K504" s="14"/>
    </row>
    <row r="505" spans="1:11" x14ac:dyDescent="0.25">
      <c r="A505" s="9" t="s">
        <v>332</v>
      </c>
      <c r="C505" s="9">
        <v>4.6782964533549602</v>
      </c>
      <c r="F505" s="14">
        <v>9.1844958902213697E-2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1.7630014641930699E-2</v>
      </c>
      <c r="G506" s="14">
        <v>0.392292801859561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-286688549.99792498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-8569763.4112334307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-17224.1206342603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-514.86757599221596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3.7154849870865099E-2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1.2429596388747699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-1.1607366502840599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33.453496466673499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1.4575580158513E-5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1.1702498863980801E-2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-226447728.206541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-10926850.258262901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7.7860846296385702E+37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3.7570428071870299E+36</v>
      </c>
      <c r="K524" s="14"/>
    </row>
    <row r="525" spans="1:11" x14ac:dyDescent="0.25">
      <c r="A525" s="9" t="s">
        <v>13</v>
      </c>
      <c r="B525" s="9" t="s">
        <v>12</v>
      </c>
      <c r="F525" s="9">
        <v>34.032691980822896</v>
      </c>
      <c r="K525" s="14"/>
    </row>
    <row r="526" spans="1:11" x14ac:dyDescent="0.25">
      <c r="A526" s="9" t="s">
        <v>11</v>
      </c>
      <c r="B526" s="9" t="s">
        <v>10</v>
      </c>
      <c r="F526" s="9">
        <v>705.29252269953702</v>
      </c>
    </row>
    <row r="527" spans="1:11" x14ac:dyDescent="0.25">
      <c r="A527" s="9" t="s">
        <v>9</v>
      </c>
      <c r="B527" s="9" t="s">
        <v>8</v>
      </c>
      <c r="F527" s="9">
        <v>-37.741090391230699</v>
      </c>
    </row>
    <row r="528" spans="1:11" x14ac:dyDescent="0.25">
      <c r="A528" s="9" t="s">
        <v>7</v>
      </c>
      <c r="F528" s="9">
        <v>20.723971030471599</v>
      </c>
    </row>
    <row r="529" spans="1:6" x14ac:dyDescent="0.25">
      <c r="A529" s="9" t="s">
        <v>6</v>
      </c>
      <c r="B529" s="9" t="s">
        <v>5</v>
      </c>
      <c r="F529" s="9">
        <v>5.9999685792610905E-4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0.298423620048831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W532"/>
  <sheetViews>
    <sheetView workbookViewId="0">
      <selection activeCell="F26" sqref="F26:G412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57031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323</v>
      </c>
      <c r="K1" s="9" t="s">
        <v>324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0.66225967965421495</v>
      </c>
      <c r="G26" s="5">
        <v>6.2485861580758003E-3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0.53472568413328403</v>
      </c>
      <c r="G27" s="18">
        <v>7.7790754710721196E-4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263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6.35264110611115E-6</v>
      </c>
      <c r="G28" s="18">
        <v>2.58898430194079E-13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8.283014681631019E-3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8.1662307424687204E-14</v>
      </c>
      <c r="G29" s="18">
        <v>4.1737078538341099E-23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2.1895201351657901E-7</v>
      </c>
      <c r="G30" s="18">
        <v>4.2024728831064202E-20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1.2507200628544717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1.9667154748253701E-14</v>
      </c>
      <c r="G31" s="18">
        <v>3.5657581780868199E-17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3.9780396404284598E-13</v>
      </c>
      <c r="G32" s="18">
        <v>4.5791703187811304E-16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0.4698246059269256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1.90330653561422E-10</v>
      </c>
      <c r="G33" s="18">
        <v>1.78104780483242E-14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7.9156773262728702E-15</v>
      </c>
      <c r="G34" s="18">
        <v>4.0816293183969598E-18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12.341695837373958</v>
      </c>
      <c r="P34" s="5">
        <f>14-(-LOG(P38))</f>
        <v>12.819612969040593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8.0270660327562796E-15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1.1637659386684301E-3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8.0270660327562796E-15</v>
      </c>
      <c r="P36" s="5">
        <f>F36</f>
        <v>1.1637659386684301E-3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2.6135459051748501E-2</v>
      </c>
      <c r="G37" s="18">
        <v>1.1086893085867501E-3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1.7630014641930699E-2</v>
      </c>
      <c r="P37" s="5">
        <f>$F$506</f>
        <v>1.7630014641930699E-2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5.5940443109653903E-15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4.5530682735027043E-13</v>
      </c>
      <c r="P38">
        <f>P36/P37</f>
        <v>6.6010491897185608E-2</v>
      </c>
      <c r="Q38">
        <f>P38*O38</f>
        <v>3.0055027637538311E-14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6.5338637182302695E-4</v>
      </c>
      <c r="G39" s="18">
        <v>8.8532004324568404E-4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1.6895925185206101E-4</v>
      </c>
      <c r="G40" s="18">
        <v>2.92421245727879E-9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5.4122224655417697E-14</v>
      </c>
      <c r="G41" s="18">
        <v>1.92505761025934E-22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5.2631880110024602E-12</v>
      </c>
      <c r="G43" s="18">
        <v>1.86794664689158E-20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7.2345352833462101E-12</v>
      </c>
      <c r="G44" s="18">
        <v>1.01571275318186E-92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5.2584109510737299E-12</v>
      </c>
      <c r="G45" s="18">
        <v>7.3826926751905302E-93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4.3002766363861999E-11</v>
      </c>
      <c r="G46" s="18">
        <v>4.05373363048032E-19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5.1968779514125503E-6</v>
      </c>
      <c r="G47" s="18">
        <v>4.5764881548544801E-16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5.2265477650050201E-12</v>
      </c>
      <c r="G48" s="18">
        <v>7.3379574666671701E-93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5.3033128871002403E-12</v>
      </c>
      <c r="G49" s="18">
        <v>7.4457340002769699E-93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2.1128255606389899E-14</v>
      </c>
      <c r="G50" s="18">
        <v>2.9663603578377E-95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5.4295739795658496E-6</v>
      </c>
      <c r="G51" s="18">
        <v>7.6230017815859001E-87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9.6747858607654796E-14</v>
      </c>
      <c r="G52" s="18">
        <v>1.3583185371566601E-94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2.0879903836858699E-14</v>
      </c>
      <c r="G53" s="18">
        <v>2.9314923186743799E-95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9.9568694715360798E-14</v>
      </c>
      <c r="G54" s="18">
        <v>5.6947671826894795E-22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2.6291311863812401E-11</v>
      </c>
      <c r="G55" s="18">
        <v>3.6912420372638203E-92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1.9390096548625701E-5</v>
      </c>
      <c r="G56" s="18">
        <v>1.7071165150197301E-15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3.6455711005656402E-6</v>
      </c>
      <c r="G57" s="18">
        <v>5.1183011962076599E-87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1.1875121969441099E-13</v>
      </c>
      <c r="G58" s="18">
        <v>1.04575007415419E-23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7.5642838067885594E-8</v>
      </c>
      <c r="G59" s="18">
        <v>1.02138951686651E-5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6.6427612955408403E-4</v>
      </c>
      <c r="G60" s="18">
        <v>3.4271053391886201E-3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2.48975021084547E-10</v>
      </c>
      <c r="G63" s="18">
        <v>7.2063429740885502E-11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1.23119978018979E-10</v>
      </c>
      <c r="G65" s="18">
        <v>5.5331926944759398E-11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7.7173063964083304E-13</v>
      </c>
      <c r="G67" s="18">
        <v>7.3263546002866501E-20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1.7124687078822101E-2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7.1455032372172997E-3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3.2949339436926599E-3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4.0835153797166499E-4</v>
      </c>
      <c r="G71" s="22">
        <v>5.73316527813523E-85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3.0373237784491299E-4</v>
      </c>
      <c r="G72" s="22">
        <v>7.6468673657755001E-13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4.5320747187515302E-7</v>
      </c>
      <c r="G74" s="18">
        <v>3.5543101686003801E-25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4.9756665137482802E-7</v>
      </c>
      <c r="G75" s="18">
        <v>3.6238723497554302E-24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1.4841352752231199E-7</v>
      </c>
      <c r="G76" s="18">
        <v>1.40588132104923E-15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6.7708201503710304E-7</v>
      </c>
      <c r="G78" s="18">
        <v>4.8067579719689197E-21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7.5933094644395504E-5</v>
      </c>
      <c r="G79" s="18">
        <v>8.0043102076177293E-15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4.9709712416696899E-8</v>
      </c>
      <c r="G81" s="18">
        <v>3.22101509395113E-17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1.07687741677307E-3</v>
      </c>
      <c r="G83" s="18">
        <v>1.2060017818031701E-5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7.9769589024237098E-6</v>
      </c>
      <c r="G84" s="22">
        <v>2.14200407141179E-7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5.0685110985060802E-5</v>
      </c>
      <c r="G85" s="22">
        <v>2.68851885775492E-5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3.1950238708110398E-5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1.1035184429574599E-3</v>
      </c>
      <c r="G87" s="18">
        <v>1.2065133544294201E-19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4.8869083706355601E-4</v>
      </c>
      <c r="G88" s="18">
        <v>1.3512831309024399E-7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1.25379253747089E-8</v>
      </c>
      <c r="G89" s="18">
        <v>6.5208775547597697E-13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3.4271222287454901E-4</v>
      </c>
      <c r="G90" s="18">
        <v>4.72230976033911E-8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1.1749414927152301E-7</v>
      </c>
      <c r="G91" s="18">
        <v>6.0095426460687199E-17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1.1075112588095201E-12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1.2820088833181099E-12</v>
      </c>
      <c r="G93" s="18">
        <v>1.79991211802668E-93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3.7232048952529099E-6</v>
      </c>
      <c r="G94" s="18">
        <v>2.1298254272123199E-14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3.9668793720939201E-6</v>
      </c>
      <c r="G95" s="18">
        <v>5.5694109030679797E-87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4.2600122676777301E-6</v>
      </c>
      <c r="G96" s="18">
        <v>3.75146306394646E-16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1.45216140179267E-12</v>
      </c>
      <c r="G97" s="18">
        <v>4.3956876032921897E-24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7.4687410169251601E-13</v>
      </c>
      <c r="G98" s="18">
        <v>4.9672450090574E-24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4.9682272118264697E-10</v>
      </c>
      <c r="G99" s="18">
        <v>2.7035358100628501E-12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5.4143179134576602E-14</v>
      </c>
      <c r="G100" s="18">
        <v>1.9219108874093401E-22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6.5898297152320603E-12</v>
      </c>
      <c r="G101" s="18">
        <v>6.2130795831593294E-20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1.0907638850099801E-12</v>
      </c>
      <c r="G102" s="18">
        <v>1.53140837016194E-93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7.0610166102136103E-14</v>
      </c>
      <c r="G103" s="18">
        <v>9.9135111524477202E-95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8.1585228539149502E-13</v>
      </c>
      <c r="G104" s="18">
        <v>1.14543856450918E-93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8.6513410340304406E-12</v>
      </c>
      <c r="G105" s="18">
        <v>1.2146291470328999E-92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1.72649769547341E-10</v>
      </c>
      <c r="G106" s="18">
        <v>6.1285184413902696E-19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1.60664769622709E-7</v>
      </c>
      <c r="G107" s="18">
        <v>4.8633170888890698E-19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1.6130438273781899E-13</v>
      </c>
      <c r="G108" s="18">
        <v>4.8826781560371196E-25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5.1403073507462602E-11</v>
      </c>
      <c r="G109" s="18">
        <v>3.4186706936488898E-22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5.1603334422161797E-7</v>
      </c>
      <c r="G110" s="18">
        <v>2.8080733142974501E-9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1.16021907553188E-13</v>
      </c>
      <c r="G111" s="18">
        <v>6.3135071817001296E-16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1.0350059685382499E-6</v>
      </c>
      <c r="G112" s="18">
        <v>9.7583317467355798E-15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3.7371892440752497E-11</v>
      </c>
      <c r="G113" s="18">
        <v>5.24693104337944E-92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2.6675487351226898E-7</v>
      </c>
      <c r="G114" s="18">
        <v>3.7451794260170302E-88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1.5738734898678701E-8</v>
      </c>
      <c r="G116" s="22">
        <v>2.20968357046181E-89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1.9755181355586099E-4</v>
      </c>
      <c r="G117" s="22">
        <v>2.77358376984904E-85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2.7738904212107399E-15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2.0712761923676501E-14</v>
      </c>
      <c r="G120" s="18">
        <v>4.0529436639462797E-30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3.3756616807645299E-6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8.9740546033934603E-10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4.0331090122134799E-6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3.7578891062568599E-10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1.04420859879672E-2</v>
      </c>
      <c r="G127" s="18">
        <v>1.4660457779804E-83</v>
      </c>
      <c r="H127" s="17" t="s">
        <v>42</v>
      </c>
      <c r="I127" s="17">
        <f>I126+2+I123</f>
        <v>136</v>
      </c>
      <c r="J127" s="17">
        <v>0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3.1257991853090602E-4</v>
      </c>
      <c r="G128" s="18">
        <v>4.38855292296726E-85</v>
      </c>
      <c r="H128" s="17" t="s">
        <v>41</v>
      </c>
      <c r="I128" s="17">
        <f>I127+2+I124</f>
        <v>270</v>
      </c>
      <c r="J128" s="17">
        <v>0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7.2952604584913805E-5</v>
      </c>
      <c r="G132" s="22">
        <v>1.02423843346655E-85</v>
      </c>
      <c r="H132" s="17" t="s">
        <v>37</v>
      </c>
      <c r="I132" s="17">
        <f>W35+I36*2</f>
        <v>58</v>
      </c>
      <c r="J132" s="17">
        <v>0</v>
      </c>
      <c r="K132" s="18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8.8924545663183006E-3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9.5558812934831494E-5</v>
      </c>
      <c r="G136" s="18">
        <v>1.3416245988910901E-85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9.4743142659830405E-3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7.9077826701282604E-7</v>
      </c>
      <c r="G138" s="22">
        <v>1.1102351972668301E-87</v>
      </c>
      <c r="H138" s="17" t="s">
        <v>31</v>
      </c>
      <c r="I138" s="17">
        <f>I137+I36*3</f>
        <v>107</v>
      </c>
      <c r="J138" s="17">
        <v>0</v>
      </c>
      <c r="K138" s="18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4.72065721903538E-20</v>
      </c>
      <c r="G140" s="22">
        <v>1.87714163964647E-96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5.99270190795601E-5</v>
      </c>
      <c r="G141" s="22">
        <v>8.41362093836223E-86</v>
      </c>
      <c r="H141" s="17" t="s">
        <v>28</v>
      </c>
      <c r="I141" s="17">
        <f>W32+I36*2</f>
        <v>74</v>
      </c>
      <c r="J141" s="17">
        <f>$W$32/I141</f>
        <v>0.54054054054054057</v>
      </c>
      <c r="K141" s="18">
        <f t="shared" si="2"/>
        <v>3.2392983286248706E-5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8.2506216983447705E-3</v>
      </c>
      <c r="G142" s="18">
        <v>0</v>
      </c>
      <c r="H142" s="17" t="s">
        <v>260</v>
      </c>
      <c r="I142" s="17">
        <f>W32</f>
        <v>40</v>
      </c>
      <c r="J142" s="17">
        <f t="shared" ref="J142:J143" si="3">$W$32/I142</f>
        <v>1</v>
      </c>
      <c r="K142" s="18">
        <f t="shared" si="2"/>
        <v>8.2506216983447705E-3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f t="shared" si="3"/>
        <v>0.4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2.84722354557944E-9</v>
      </c>
      <c r="G144" s="14">
        <v>2.4024430751293301E-9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2.9430134818814999E-2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0.80742600004348697</v>
      </c>
      <c r="G147" s="14">
        <v>0.12449336976842799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9.5923718463851692E-6</v>
      </c>
      <c r="G148" s="14">
        <v>4.1433121612554403E-11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1.2330859017013601E-13</v>
      </c>
      <c r="G149" s="14">
        <v>6.6794435545069999E-21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3.3061353460458298E-7</v>
      </c>
      <c r="G150" s="14">
        <v>6.7254780150147402E-18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2.9697043852227998E-14</v>
      </c>
      <c r="G151" s="14">
        <v>5.7065039800697298E-15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6.0067670773879902E-13</v>
      </c>
      <c r="G152" s="14">
        <v>7.3283302861446802E-14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2.8739580471031999E-10</v>
      </c>
      <c r="G153" s="14">
        <v>2.8503212723258299E-12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1.19525279425223E-14</v>
      </c>
      <c r="G154" s="14">
        <v>6.5320845630363505E-16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1.2120722851416E-14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1.75726527587497E-3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3.9464065010562897E-2</v>
      </c>
      <c r="G157" s="14">
        <v>0.17743042674603399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8.4469045645149397E-15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9.8660146751524801E-4</v>
      </c>
      <c r="G159" s="14">
        <v>0.14168325775607299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2.5512537912662802E-4</v>
      </c>
      <c r="G160" s="14">
        <v>4.6797985709126801E-7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8.1723569044210099E-14</v>
      </c>
      <c r="G161" s="14">
        <v>3.0807890962203598E-20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7.9473176047053393E-12</v>
      </c>
      <c r="G163" s="14">
        <v>2.98939087921098E-18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1.09240159194405E-11</v>
      </c>
      <c r="G164" s="14">
        <v>1.62550811893524E-90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7.9401043316109795E-12</v>
      </c>
      <c r="G165" s="14">
        <v>1.1814981002780899E-90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6.4933390458430198E-11</v>
      </c>
      <c r="G166" s="14">
        <v>6.4874413634213697E-17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7.8471906278908406E-6</v>
      </c>
      <c r="G167" s="14">
        <v>7.3240378528504905E-14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7.8919915035956207E-12</v>
      </c>
      <c r="G168" s="14">
        <v>1.17433884738605E-90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8.0079054335140199E-12</v>
      </c>
      <c r="G169" s="14">
        <v>1.1915869945481899E-90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3.1903279416650498E-14</v>
      </c>
      <c r="G170" s="14">
        <v>4.7472504704186802E-93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8.1985573731452103E-6</v>
      </c>
      <c r="G171" s="14">
        <v>1.2199562571020599E-84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1.4608749646085901E-13</v>
      </c>
      <c r="G172" s="14">
        <v>2.1738014053005199E-92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3.1528272788342902E-14</v>
      </c>
      <c r="G173" s="14">
        <v>4.6914489846405599E-93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1.5034690737528899E-13</v>
      </c>
      <c r="G174" s="14">
        <v>9.1136891428302395E-20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3.9699399905396399E-11</v>
      </c>
      <c r="G175" s="14">
        <v>5.9073235831007603E-90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2.9278691039668701E-5</v>
      </c>
      <c r="G176" s="14">
        <v>2.7320044436186898E-13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5.50474566482606E-6</v>
      </c>
      <c r="G177" s="14">
        <v>8.19113486911381E-85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1.7931216914249401E-13</v>
      </c>
      <c r="G178" s="14">
        <v>1.6735787067649501E-21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1.14219301569712E-7</v>
      </c>
      <c r="G179" s="14">
        <v>1.6345929959634799E-3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1.0030448024571301E-3</v>
      </c>
      <c r="G180" s="14">
        <v>0.54846092419792603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3.7594772675054602E-10</v>
      </c>
      <c r="G183" s="14">
        <v>1.15327576379417E-8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1.8590891428459499E-10</v>
      </c>
      <c r="G185" s="14">
        <v>8.8551114676153195E-9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1.1652991467694001E-12</v>
      </c>
      <c r="G187" s="14">
        <v>1.1724819687119001E-17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2.5857964186742199E-2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1.0789579158659E-2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4.9752899729801504E-3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6.1660335139967701E-4</v>
      </c>
      <c r="G191" s="14">
        <v>9.1751399966303806E-83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4.5863033365325901E-4</v>
      </c>
      <c r="G192" s="14">
        <v>1.22377561456723E-10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6.8433499093857798E-7</v>
      </c>
      <c r="G194" s="14">
        <v>5.6881830204209003E-23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7.5131654041602201E-7</v>
      </c>
      <c r="G195" s="14">
        <v>5.7995076935473902E-22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2.24101711280087E-7</v>
      </c>
      <c r="G196" s="14">
        <v>2.2499190784658399E-13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1.0223814552482299E-6</v>
      </c>
      <c r="G198" s="14">
        <v>7.6925529237627105E-19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1.14657583689894E-4</v>
      </c>
      <c r="G199" s="14">
        <v>1.2809794096017701E-12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7.5060756292232403E-8</v>
      </c>
      <c r="G201" s="14">
        <v>5.1547902396900197E-15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1.6260651974695801E-3</v>
      </c>
      <c r="G203" s="14">
        <v>1.9300394541963901E-3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1.2045062001341701E-5</v>
      </c>
      <c r="G204" s="14">
        <v>3.4279819741997401E-5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7.6533590285196001E-5</v>
      </c>
      <c r="G205" s="14">
        <v>4.3026034845982299E-3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4.8244275908194398E-5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1.6662926596008999E-3</v>
      </c>
      <c r="G207" s="14">
        <v>1.9308581556006901E-17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7.3791422319220105E-4</v>
      </c>
      <c r="G208" s="14">
        <v>2.1625422082978198E-5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1.89320379299783E-8</v>
      </c>
      <c r="G209" s="14">
        <v>1.04357648111038E-10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5.1748918649779398E-4</v>
      </c>
      <c r="G210" s="14">
        <v>7.5574052127550398E-6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1.7741401580248701E-7</v>
      </c>
      <c r="G211" s="14">
        <v>9.6174438409589098E-15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1.6723217384875099E-12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1.93580995899899E-12</v>
      </c>
      <c r="G213" s="14">
        <v>2.8805110027977102E-91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5.6219712744657804E-6</v>
      </c>
      <c r="G214" s="14">
        <v>3.4084917345017101E-12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5.9899152763839397E-6</v>
      </c>
      <c r="G215" s="14">
        <v>8.9130737132750605E-85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6.4325405857442599E-6</v>
      </c>
      <c r="G216" s="14">
        <v>6.0036990273359503E-14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2.1927371488943501E-12</v>
      </c>
      <c r="G217" s="14">
        <v>7.0346915159537597E-22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1.1277662292267001E-12</v>
      </c>
      <c r="G218" s="14">
        <v>7.9493902834925799E-22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7.5019321943629797E-10</v>
      </c>
      <c r="G219" s="14">
        <v>4.3266360448095002E-10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8.1755209924370303E-14</v>
      </c>
      <c r="G220" s="14">
        <v>3.07575320046668E-20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9.9505223067072501E-12</v>
      </c>
      <c r="G221" s="14">
        <v>9.9431766258506606E-18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1.6470335104494101E-12</v>
      </c>
      <c r="G222" s="14">
        <v>2.45080780102987E-91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1.06620058975965E-13</v>
      </c>
      <c r="G223" s="14">
        <v>1.5865206787035E-92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1.2319220246315999E-12</v>
      </c>
      <c r="G224" s="14">
        <v>1.83311638110133E-91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1.3063366682005399E-11</v>
      </c>
      <c r="G225" s="14">
        <v>1.9438463618895399E-90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2.6069799332715899E-10</v>
      </c>
      <c r="G226" s="14">
        <v>9.8078481857366097E-17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2.42600862710828E-7</v>
      </c>
      <c r="G227" s="14">
        <v>7.7830679866734597E-17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2.4356666681269301E-13</v>
      </c>
      <c r="G228" s="14">
        <v>7.8140527033089699E-23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7.7617700558641302E-11</v>
      </c>
      <c r="G229" s="14">
        <v>5.4711107555595194E-20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7.7920090875991995E-7</v>
      </c>
      <c r="G230" s="14">
        <v>4.4939338968195802E-7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1.7519095774299101E-13</v>
      </c>
      <c r="G231" s="14">
        <v>1.01038971408603E-13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1.56284007668813E-6</v>
      </c>
      <c r="G232" s="14">
        <v>1.5616863559004799E-12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5.6430873853388602E-11</v>
      </c>
      <c r="G233" s="14">
        <v>8.3969891918641495E-90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4.0279497862764202E-7</v>
      </c>
      <c r="G234" s="14">
        <v>5.99364293181216E-86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2.37652017512169E-8</v>
      </c>
      <c r="G236" s="14">
        <v>3.5362936743793901E-87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2.9829962418821698E-4</v>
      </c>
      <c r="G237" s="14">
        <v>4.4387381396100398E-83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4.18852378671018E-15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3.1275891557358902E-14</v>
      </c>
      <c r="G240" s="14">
        <v>6.4861771309789396E-28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5.0971873790158304E-6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1.35506582675833E-9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6.0899208212695097E-6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5.6743437985216902E-10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1.57673588001301E-2</v>
      </c>
      <c r="G247" s="14">
        <v>2.3462039906189801E-81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4.7198995822018503E-4</v>
      </c>
      <c r="G248" s="14">
        <v>7.0232734444981705E-83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1.10157098229209E-4</v>
      </c>
      <c r="G252" s="14">
        <v>1.6391522939038101E-83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1.3427443704501701E-2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1.44292059248912E-4</v>
      </c>
      <c r="G256" s="14">
        <v>2.14708506044547E-83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1.4306041205664E-2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1.19406071561795E-6</v>
      </c>
      <c r="G258" s="14">
        <v>1.7767782489994801E-85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7.1281060346300597E-20</v>
      </c>
      <c r="G260" s="14">
        <v>3.0041061964399898E-94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9.0488702423873602E-5</v>
      </c>
      <c r="G261" s="14">
        <v>1.34648394461014E-83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1.24582878164237E-2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4.2992554628511496E-9</v>
      </c>
      <c r="G264" s="14">
        <v>3.8447786656896198E-7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4.4438965141561003E-2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0.37748719799806701</v>
      </c>
      <c r="G266" s="14">
        <v>3.1353094658635402E-3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0.231197590148464</v>
      </c>
      <c r="G267" s="14">
        <v>3.3634133460599302E-4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1.4041072894267099E-5</v>
      </c>
      <c r="G268" s="14">
        <v>5.7223628249191795E-13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5.5359204852425096E-13</v>
      </c>
      <c r="G269" s="14">
        <v>2.82937324894556E-22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9.4670128287541E-7</v>
      </c>
      <c r="G270" s="14">
        <v>1.81705863572008E-19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2.8345511773170901E-14</v>
      </c>
      <c r="G271" s="14">
        <v>5.13918976644118E-17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7.0725827726578095E-13</v>
      </c>
      <c r="G272" s="14">
        <v>8.1413369491182705E-16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4.0246400324380201E-10</v>
      </c>
      <c r="G273" s="14">
        <v>3.7661176278686897E-14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1.9402882931992601E-14</v>
      </c>
      <c r="G274" s="14">
        <v>1.00048767240408E-17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1.9264958478615E-16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4.75021511984475E-4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1.06824360842003E-2</v>
      </c>
      <c r="G277" s="14">
        <v>4.5315839498988401E-4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2.4217960392803801E-15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6.9012968511976804E-4</v>
      </c>
      <c r="G279" s="14">
        <v>9.3510619294161397E-4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4.5868836018259101E-4</v>
      </c>
      <c r="G280" s="14">
        <v>7.9386136133530295E-9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2.2627798972487401E-13</v>
      </c>
      <c r="G281" s="14">
        <v>8.0484157650095597E-22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1.8466140190635899E-11</v>
      </c>
      <c r="G283" s="14">
        <v>6.5537777822149794E-20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3.14600329966718E-11</v>
      </c>
      <c r="G284" s="14">
        <v>4.4169190526722798E-92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2.57740247142244E-11</v>
      </c>
      <c r="G285" s="14">
        <v>3.6186160655440898E-92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1.7048898770033101E-10</v>
      </c>
      <c r="G286" s="14">
        <v>1.6071453106518499E-18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1.49859891613476E-5</v>
      </c>
      <c r="G287" s="14">
        <v>1.31970006851986E-15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1.8716963304521401E-11</v>
      </c>
      <c r="G288" s="14">
        <v>2.6278202517033201E-92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1.51615860584769E-11</v>
      </c>
      <c r="G289" s="14">
        <v>2.1286531497758301E-92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5.3290626075245902E-14</v>
      </c>
      <c r="G290" s="14">
        <v>7.4818860382469701E-95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1.7093353528123101E-5</v>
      </c>
      <c r="G291" s="14">
        <v>2.3998690300298499E-86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3.0458105120095301E-13</v>
      </c>
      <c r="G292" s="14">
        <v>4.2762505947618199E-94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5.8704875258204604E-14</v>
      </c>
      <c r="G293" s="14">
        <v>8.2420346488557099E-95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3.5159092100224301E-13</v>
      </c>
      <c r="G294" s="14">
        <v>2.0109015633668398E-21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8.3987440104382304E-11</v>
      </c>
      <c r="G295" s="14">
        <v>1.17916508358864E-91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3.4933464749732499E-5</v>
      </c>
      <c r="G296" s="14">
        <v>3.0755646033827998E-15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7.7951747784558301E-6</v>
      </c>
      <c r="G297" s="14">
        <v>1.0944252983305699E-86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3.28129570220565E-13</v>
      </c>
      <c r="G298" s="14">
        <v>2.8895831409004701E-23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3.6596852257029401E-9</v>
      </c>
      <c r="G299" s="14">
        <v>4.94159687822605E-7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2.5576374048396098E-4</v>
      </c>
      <c r="G300" s="14">
        <v>1.3195254828317199E-3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2.0365288299842399E-10</v>
      </c>
      <c r="G303" s="14">
        <v>5.8945371955615199E-11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2.3081639135477901E-10</v>
      </c>
      <c r="G305" s="14">
        <v>1.0373227732486201E-10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1.1487997118921799E-12</v>
      </c>
      <c r="G307" s="14">
        <v>1.0906025524587599E-19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2.5077586294672199E-2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1.02911023887077E-2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2.6154347413837099E-3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1.58906655785874E-3</v>
      </c>
      <c r="G311" s="14">
        <v>2.2310143018963702E-84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9.6307063870185096E-4</v>
      </c>
      <c r="G312" s="14">
        <v>2.4246586716501099E-12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9.6307064112651201E-6</v>
      </c>
      <c r="G314" s="14">
        <v>7.5529464654974101E-24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9.6307064112651201E-6</v>
      </c>
      <c r="G315" s="14">
        <v>7.0142262500838097E-23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9.1236907356076904E-7</v>
      </c>
      <c r="G316" s="14">
        <v>8.6426261799434107E-15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9.6307064112650405E-6</v>
      </c>
      <c r="G318" s="14">
        <v>6.8370557465632301E-20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2.7359860332709499E-4</v>
      </c>
      <c r="G319" s="14">
        <v>2.8840759140094599E-14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3.3458718220343003E-7</v>
      </c>
      <c r="G321" s="14">
        <v>2.1680076422205099E-16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1.1906570109219701E-3</v>
      </c>
      <c r="G323" s="14">
        <v>1.33342426382308E-5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7.0341461758284397E-5</v>
      </c>
      <c r="G324" s="14">
        <v>1.8888363262034801E-6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1.41587722190281E-4</v>
      </c>
      <c r="G325" s="14">
        <v>7.5103172063159797E-5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4.5275752882312201E-5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2.64844426309791E-3</v>
      </c>
      <c r="G327" s="14">
        <v>2.8956320506306202E-19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8.5702494001175199E-4</v>
      </c>
      <c r="G328" s="14">
        <v>2.3697668471937101E-7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3.0429623121072802E-8</v>
      </c>
      <c r="G329" s="14">
        <v>1.58262105156779E-12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7.1639230604573405E-4</v>
      </c>
      <c r="G330" s="14">
        <v>9.8713327196094004E-8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7.9649753767762199E-7</v>
      </c>
      <c r="G331" s="14">
        <v>4.0738929979405901E-16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2.7666374606618699E-12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3.57341843491278E-12</v>
      </c>
      <c r="G333" s="14">
        <v>5.0170004494294097E-93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1.30570883438485E-5</v>
      </c>
      <c r="G334" s="14">
        <v>7.4691883853996699E-14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1.2392545756537501E-5</v>
      </c>
      <c r="G335" s="14">
        <v>1.7398860156616501E-86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1.16680774952925E-5</v>
      </c>
      <c r="G336" s="14">
        <v>1.02751726991426E-15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6.2797269982580504E-12</v>
      </c>
      <c r="G337" s="14">
        <v>1.9008712174986801E-23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3.64272523218951E-12</v>
      </c>
      <c r="G338" s="14">
        <v>2.4226718650381201E-23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2.0651328302105802E-9</v>
      </c>
      <c r="G339" s="14">
        <v>1.12377319332749E-11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1.88654111076637E-13</v>
      </c>
      <c r="G340" s="14">
        <v>6.6966217320100805E-22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2.5966660957821001E-11</v>
      </c>
      <c r="G341" s="14">
        <v>2.4482109251919701E-19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3.8797844855029598E-12</v>
      </c>
      <c r="G342" s="14">
        <v>5.4471316085692504E-93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2.0015857006396601E-13</v>
      </c>
      <c r="G343" s="14">
        <v>2.8101820546872898E-94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2.5864993721767001E-12</v>
      </c>
      <c r="G344" s="14">
        <v>3.63138791300721E-93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2.7636657717271199E-11</v>
      </c>
      <c r="G345" s="14">
        <v>3.88012561959204E-92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6.05749755030118E-10</v>
      </c>
      <c r="G346" s="14">
        <v>2.1502192295436401E-18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6.9866532621225204E-7</v>
      </c>
      <c r="G347" s="14">
        <v>2.1148575561160401E-18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7.0144674186900799E-13</v>
      </c>
      <c r="G348" s="14">
        <v>2.1232768918089801E-24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2.5195141636807799E-10</v>
      </c>
      <c r="G349" s="14">
        <v>1.6756564629074699E-21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2.1574683691385001E-6</v>
      </c>
      <c r="G350" s="14">
        <v>1.17401897021926E-8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4.8507252191365102E-13</v>
      </c>
      <c r="G351" s="14">
        <v>2.6395953275835299E-15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4.1033899620972997E-6</v>
      </c>
      <c r="G352" s="14">
        <v>3.86879320057664E-14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1.33833721776657E-10</v>
      </c>
      <c r="G353" s="14">
        <v>1.8789958537802299E-91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7.6262273363353903E-7</v>
      </c>
      <c r="G354" s="14">
        <v>1.07070545111741E-87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1.9306683436430901E-8</v>
      </c>
      <c r="G356" s="14">
        <v>2.7106156539411599E-89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3.7482204129166298E-4</v>
      </c>
      <c r="G357" s="14">
        <v>5.2624185604567005E-85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3.9965971305559703E-15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4.8714019992187598E-14</v>
      </c>
      <c r="G360" s="14">
        <v>9.5320546530786205E-30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7.8575511889209208E-6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2.0672000410933101E-9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9.1928760611529707E-6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3.5262002112996998E-10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3.4104405849574901E-2</v>
      </c>
      <c r="G367" s="14">
        <v>4.7881831526683802E-83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1.30665332716913E-3</v>
      </c>
      <c r="G368" s="14">
        <v>1.83451237213309E-84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1.0210974130940899E-4</v>
      </c>
      <c r="G372" s="14">
        <v>1.4335981844033001E-85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5.1869118368242399E-3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2.0608981125911301E-4</v>
      </c>
      <c r="G376" s="14">
        <v>2.8934553692563099E-85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1.26984385695999E-2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2.0282327623910098E-6</v>
      </c>
      <c r="G378" s="14">
        <v>2.8475939400339201E-87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1.3126017765600199E-19</v>
      </c>
      <c r="G380" s="14">
        <v>5.2194839335490201E-96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1.0656368275237801E-4</v>
      </c>
      <c r="G381" s="14">
        <v>1.49613053718569E-85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7.9358241778174597E-3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2.4914782246774902E-9</v>
      </c>
      <c r="G384" s="14">
        <v>2.1022706899867998E-9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2.5041454254363701E-2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2.3330739725521899E-2</v>
      </c>
      <c r="G387" s="14">
        <v>0.16817686465678999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/>
      <c r="G388" s="14"/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/>
      <c r="G389" s="14">
        <v>-135213309.170486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/>
      <c r="G390" s="14">
        <v>-6467434.3985699899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/>
      <c r="G391" s="14">
        <v>-56359.758347601201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/>
      <c r="G392" s="14">
        <v>-2695.7630285697501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/>
      <c r="G393" s="14">
        <v>3.7154849870865099E-2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/>
      <c r="G394" s="14">
        <v>0.77678873772312296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/>
      <c r="G395" s="14">
        <v>-0.23469222557509101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/>
      <c r="G396" s="14">
        <v>20.9067925297214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/>
      <c r="G397" s="14">
        <v>6.2485861580758304E-6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/>
      <c r="G398" s="14"/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/>
      <c r="G399" s="14">
        <v>3.1353094658635402E-3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/>
      <c r="G400" s="14"/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/>
      <c r="G401" s="14"/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-45941569.250403002</v>
      </c>
      <c r="G402" s="14"/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-1934386.0620957599</v>
      </c>
      <c r="G403" s="14"/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1.0648184860988899E+38</v>
      </c>
      <c r="G404" s="14"/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4.4834559893783702E+36</v>
      </c>
      <c r="G405" s="14"/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28.385712902848699</v>
      </c>
      <c r="G406" s="14"/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674.159218059816</v>
      </c>
      <c r="G407" s="14"/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-8.4514580373844002</v>
      </c>
      <c r="G408" s="14"/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23.749948446500301</v>
      </c>
      <c r="G409" s="14"/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6.6225967965421496E-4</v>
      </c>
      <c r="G410" s="14"/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/>
      <c r="G411" s="14"/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0.37748719799806602</v>
      </c>
      <c r="G412" s="14"/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3.3105905615747301E-14</v>
      </c>
      <c r="G413" s="14">
        <v>2.8431766034866701E-93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1.13430455901719E-3</v>
      </c>
      <c r="G414" s="14">
        <v>3.9684504741835298E-10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1.8177661739485701E-12</v>
      </c>
      <c r="G415" s="14">
        <v>1.5611203379743001E-91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1.1705998586745001E-4</v>
      </c>
      <c r="G416" s="14">
        <v>6.3041971587055298E-13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2.6121172235562499E-5</v>
      </c>
      <c r="G417" s="14">
        <v>2.2433189600006202E-84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1.0943278500290901E-3</v>
      </c>
      <c r="G418" s="14">
        <v>5.8948859119493701E-12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5.1344354971755998E-9</v>
      </c>
      <c r="G419" s="14">
        <v>4.2408646391583099E-5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3.9465486280729098E-4</v>
      </c>
      <c r="G420" s="14">
        <v>0.124547321681294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6.5338911742507295E-10</v>
      </c>
      <c r="G423" s="14">
        <v>1.12682473137065E-8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2.6866338028165902E-10</v>
      </c>
      <c r="G425" s="14">
        <v>2.17366541213164E-8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4.5559237352763201E-10</v>
      </c>
      <c r="G427" s="14">
        <v>2.6456766513843502E-15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1.0272874860295299E-8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4.8617237782534197E-18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1.86256181176928E-3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5.3248685797681501E-3</v>
      </c>
      <c r="G431" s="14">
        <v>4.5730637724759297E-82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3.2271930591578498E-3</v>
      </c>
      <c r="G432" s="14">
        <v>4.9699903035329097E-10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3.2271930786473602E-5</v>
      </c>
      <c r="G434" s="14">
        <v>1.54817959606947E-21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3.2271930786473602E-5</v>
      </c>
      <c r="G435" s="14">
        <v>1.4377543932293001E-20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3.0572950670682301E-6</v>
      </c>
      <c r="G436" s="14">
        <v>1.7715387487623199E-12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3.2271930786473101E-5</v>
      </c>
      <c r="G438" s="14">
        <v>1.40143853162099E-17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9.1681282883029002E-4</v>
      </c>
      <c r="G439" s="14">
        <v>5.9116895682014397E-12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1.1211819689253199E-6</v>
      </c>
      <c r="G441" s="14">
        <v>4.4439149782128703E-14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3.8872865551012E-3</v>
      </c>
      <c r="G443" s="14">
        <v>3.75416636483793E-3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2.2406846786186699E-4</v>
      </c>
      <c r="G444" s="14">
        <v>4.5827603392118203E-4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6.72901608047943E-5</v>
      </c>
      <c r="G445" s="14">
        <v>1.6800678483940401E-2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1.35384557288748E-4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8.8747809662802404E-3</v>
      </c>
      <c r="G447" s="14">
        <v>3.4531924758977399E-16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2.3591532872843002E-3</v>
      </c>
      <c r="G448" s="14">
        <v>3.9903082555193598E-5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2.5532025808686499E-5</v>
      </c>
      <c r="G449" s="14">
        <v>8.1227627176862003E-8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1.27168275238469E-3</v>
      </c>
      <c r="G450" s="14">
        <v>1.0718691852724101E-5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2.32705877611384E-4</v>
      </c>
      <c r="G451" s="14">
        <v>7.2806584912066195E-12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6.0455868576007203E-6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0</v>
      </c>
      <c r="G453" s="14">
        <v>0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1.9242714330997299E-8</v>
      </c>
      <c r="G454" s="14">
        <v>6.7333552838133996E-15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2.09143327860671E-8</v>
      </c>
      <c r="G455" s="14">
        <v>1.7961490721642101E-87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1.8621515954006701E-8</v>
      </c>
      <c r="G456" s="14">
        <v>1.0030971253587E-16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2.21037291701634E-12</v>
      </c>
      <c r="G457" s="14">
        <v>4.09275369137325E-22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1.0858597927698599E-19</v>
      </c>
      <c r="G458" s="14">
        <v>8.1725051622040199E-24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2.0563427570920199E-14</v>
      </c>
      <c r="G459" s="14">
        <v>6.8448559107881798E-15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1.6531809277000901E-16</v>
      </c>
      <c r="G460" s="14">
        <v>3.11616194459981E-21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8.0110039769897607E-12</v>
      </c>
      <c r="G461" s="14">
        <v>4.6201683299383601E-18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6.4819126130371101E-20</v>
      </c>
      <c r="G462" s="14">
        <v>1.2581867196825E-93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2.63962551697768E-20</v>
      </c>
      <c r="G463" s="14">
        <v>1.0027096660297901E-93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1.8325529137694001E-17</v>
      </c>
      <c r="G464" s="14">
        <v>1.1214220412450801E-93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4.0125650111857599E-12</v>
      </c>
      <c r="G465" s="14">
        <v>3.4460410454218202E-91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5.98908540879225E-8</v>
      </c>
      <c r="G466" s="14">
        <v>1.30043343829915E-14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1.7746731968395102E-5</v>
      </c>
      <c r="G467" s="14">
        <v>3.2860067282901701E-15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2.4431136541567698E-13</v>
      </c>
      <c r="G468" s="14">
        <v>4.5236993040937499E-23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2.0188199959213E-14</v>
      </c>
      <c r="G469" s="14">
        <v>8.2130394094334207E-24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2.8452233269134098E-6</v>
      </c>
      <c r="G470" s="14">
        <v>9.4707672831140803E-7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2.1701071511974999E-16</v>
      </c>
      <c r="G471" s="14">
        <v>1.3443508895770101E-16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1.57817217817897E-4</v>
      </c>
      <c r="G472" s="14">
        <v>9.10175695550229E-11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1.47499431332135E-14</v>
      </c>
      <c r="G473" s="14">
        <v>1.2667435745712899E-93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1.1775172162305801E-14</v>
      </c>
      <c r="G474" s="14">
        <v>1.01126652091858E-93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6.2355648886693895E-4</v>
      </c>
      <c r="G476" s="14">
        <v>5.3551811591448599E-83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0</v>
      </c>
      <c r="G477" s="14">
        <v>0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5.0514048208691598E-3</v>
      </c>
      <c r="G480" s="14">
        <v>6.0462048233456506E-17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2.5315961139437199E-2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5.6263175447404801E-9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1.4591518361862499E-20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1.14252500956419E-2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1.82905597446954E-17</v>
      </c>
      <c r="G487" s="14">
        <v>1.1552912060665199E-93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5.83517313649729E-3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1.8088640305756298E-2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6.7964887030693502E-6</v>
      </c>
      <c r="G498" s="14">
        <v>5.8369095504328201E-85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1.13870257085053E-2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7.0539018949021396E-10</v>
      </c>
      <c r="G504" s="14">
        <v>3.6408189427892003E-8</v>
      </c>
      <c r="K504" s="14"/>
    </row>
    <row r="505" spans="1:11" x14ac:dyDescent="0.25">
      <c r="A505" s="9" t="s">
        <v>332</v>
      </c>
      <c r="C505" s="9">
        <v>4.6782964533549602</v>
      </c>
      <c r="F505" s="14">
        <v>9.1844958902213697E-2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1.7630014641930699E-2</v>
      </c>
      <c r="G506" s="14">
        <v>0.392292801859561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-286688549.99792498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-8569763.4112334307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-17224.1206342603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-514.86757599221596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3.7154849870865099E-2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1.2429596388747699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-1.1607366502840599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33.453496466673499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1.4575580158513E-5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1.1702498863980801E-2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-226447728.206541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-10926850.258262901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7.7860846296385702E+37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3.7570428071870299E+36</v>
      </c>
      <c r="K524" s="14"/>
    </row>
    <row r="525" spans="1:11" x14ac:dyDescent="0.25">
      <c r="A525" s="9" t="s">
        <v>13</v>
      </c>
      <c r="B525" s="9" t="s">
        <v>12</v>
      </c>
      <c r="F525" s="9">
        <v>34.032691980822896</v>
      </c>
      <c r="K525" s="14"/>
    </row>
    <row r="526" spans="1:11" x14ac:dyDescent="0.25">
      <c r="A526" s="9" t="s">
        <v>11</v>
      </c>
      <c r="B526" s="9" t="s">
        <v>10</v>
      </c>
      <c r="F526" s="9">
        <v>705.29252269953702</v>
      </c>
    </row>
    <row r="527" spans="1:11" x14ac:dyDescent="0.25">
      <c r="A527" s="9" t="s">
        <v>9</v>
      </c>
      <c r="B527" s="9" t="s">
        <v>8</v>
      </c>
      <c r="F527" s="9">
        <v>-37.741090391230699</v>
      </c>
    </row>
    <row r="528" spans="1:11" x14ac:dyDescent="0.25">
      <c r="A528" s="9" t="s">
        <v>7</v>
      </c>
      <c r="F528" s="9">
        <v>20.723971030471599</v>
      </c>
    </row>
    <row r="529" spans="1:6" x14ac:dyDescent="0.25">
      <c r="A529" s="9" t="s">
        <v>6</v>
      </c>
      <c r="B529" s="9" t="s">
        <v>5</v>
      </c>
      <c r="F529" s="9">
        <v>5.9999685792610905E-4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0.298423620048831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W532"/>
  <sheetViews>
    <sheetView workbookViewId="0">
      <selection activeCell="F26" sqref="F26:G412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22.710937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28515625" bestFit="1" customWidth="1"/>
    <col min="16" max="16" width="10.5703125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325</v>
      </c>
      <c r="K1" s="9" t="s">
        <v>326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0.66225967965421495</v>
      </c>
      <c r="G26" s="5">
        <v>6.2485861580758003E-3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0.53472568413328403</v>
      </c>
      <c r="G27" s="18">
        <v>7.7790754710721196E-4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222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6.35264110611115E-6</v>
      </c>
      <c r="G28" s="18">
        <v>2.58898430194079E-13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3.196462085264448E-3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8.1662307424687204E-14</v>
      </c>
      <c r="G29" s="18">
        <v>4.1737078538341099E-23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1.0029428394585442E-5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2.1895201351657901E-7</v>
      </c>
      <c r="G30" s="18">
        <v>4.2024728831064202E-20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0.48265992683314402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1.9667154748253701E-14</v>
      </c>
      <c r="G31" s="18">
        <v>3.5657581780868199E-17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1.5144253383841968E-3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3.9780396404284598E-13</v>
      </c>
      <c r="G32" s="18">
        <v>4.5791703187811304E-16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0.18130796543197861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1.90330653561422E-10</v>
      </c>
      <c r="G33" s="18">
        <v>1.78104780483242E-14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5.688837246187958E-4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7.9156773262728702E-15</v>
      </c>
      <c r="G34" s="18">
        <v>4.0816293183969598E-18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12.341695837373958</v>
      </c>
      <c r="P34" s="5">
        <f>14-(-LOG(P38))</f>
        <v>12.819612969040593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8.0270660327562796E-15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1.1637659386684301E-3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8.0270660327562796E-15</v>
      </c>
      <c r="P36" s="5">
        <f>F36</f>
        <v>1.1637659386684301E-3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2.6135459051748501E-2</v>
      </c>
      <c r="G37" s="18">
        <v>1.1086893085867501E-3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1.7630014641930699E-2</v>
      </c>
      <c r="P37" s="5">
        <f>$F$506</f>
        <v>1.7630014641930699E-2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5.5940443109653903E-15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4.5530682735027043E-13</v>
      </c>
      <c r="P38" s="5">
        <f>P36/P37</f>
        <v>6.6010491897185608E-2</v>
      </c>
      <c r="Q38">
        <f>P38*O38</f>
        <v>3.0055027637538311E-14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6.5338637182302695E-4</v>
      </c>
      <c r="G39" s="18">
        <v>8.8532004324568404E-4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1.6895925185206101E-4</v>
      </c>
      <c r="G40" s="18">
        <v>2.92421245727879E-9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5.4122224655417697E-14</v>
      </c>
      <c r="G41" s="18">
        <v>1.92505761025934E-22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5.2631880110024602E-12</v>
      </c>
      <c r="G43" s="18">
        <v>1.86794664689158E-20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7.2345352833462101E-12</v>
      </c>
      <c r="G44" s="18">
        <v>1.01571275318186E-92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5.2584109510737299E-12</v>
      </c>
      <c r="G45" s="18">
        <v>7.3826926751905302E-93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4.3002766363861999E-11</v>
      </c>
      <c r="G46" s="18">
        <v>4.05373363048032E-19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5.1968779514125503E-6</v>
      </c>
      <c r="G47" s="18">
        <v>4.5764881548544801E-16</v>
      </c>
      <c r="H47" s="17" t="s">
        <v>266</v>
      </c>
      <c r="I47" s="17">
        <v>121</v>
      </c>
      <c r="J47" s="17">
        <f>$W$30/I47</f>
        <v>0.26446280991735538</v>
      </c>
      <c r="K47" s="18">
        <f t="shared" si="1"/>
        <v>1.3743809458281125E-6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5.2265477650050201E-12</v>
      </c>
      <c r="G48" s="18">
        <v>7.3379574666671701E-93</v>
      </c>
      <c r="H48" s="17" t="s">
        <v>203</v>
      </c>
      <c r="I48" s="17">
        <v>149</v>
      </c>
      <c r="J48" s="17">
        <f>$W$30/I48</f>
        <v>0.21476510067114093</v>
      </c>
      <c r="K48" s="18">
        <f t="shared" si="1"/>
        <v>1.1224800569138297E-12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5.3033128871002403E-12</v>
      </c>
      <c r="G49" s="18">
        <v>7.4457340002769699E-93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2.1128255606389899E-14</v>
      </c>
      <c r="G50" s="18">
        <v>2.9663603578377E-95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5.4295739795658496E-6</v>
      </c>
      <c r="G51" s="18">
        <v>7.6230017815859001E-87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9.6747858607654796E-14</v>
      </c>
      <c r="G52" s="18">
        <v>1.3583185371566601E-94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2.0879903836858699E-14</v>
      </c>
      <c r="G53" s="18">
        <v>2.9314923186743799E-95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9.9568694715360798E-14</v>
      </c>
      <c r="G54" s="18">
        <v>5.6947671826894795E-22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2.6291311863812401E-11</v>
      </c>
      <c r="G55" s="18">
        <v>3.6912420372638203E-92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1.9390096548625701E-5</v>
      </c>
      <c r="G56" s="18">
        <v>1.7071165150197301E-15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3.6455711005656402E-6</v>
      </c>
      <c r="G57" s="18">
        <v>5.1183011962076599E-87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1.1875121969441099E-13</v>
      </c>
      <c r="G58" s="18">
        <v>1.04575007415419E-23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7.5642838067885594E-8</v>
      </c>
      <c r="G59" s="18">
        <v>1.02138951686651E-5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6.6427612955408403E-4</v>
      </c>
      <c r="G60" s="18">
        <v>3.4271053391886201E-3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2.48975021084547E-10</v>
      </c>
      <c r="G63" s="18">
        <v>7.2063429740885502E-11</v>
      </c>
      <c r="H63" s="17" t="s">
        <v>106</v>
      </c>
      <c r="I63" s="17">
        <v>34</v>
      </c>
      <c r="J63" s="17">
        <f>$W$30/I63</f>
        <v>0.94117647058823528</v>
      </c>
      <c r="K63" s="18">
        <f t="shared" si="1"/>
        <v>2.3432943160898541E-10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1.23119978018979E-10</v>
      </c>
      <c r="G65" s="18">
        <v>5.5331926944759398E-11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7.7173063964083304E-13</v>
      </c>
      <c r="G67" s="18">
        <v>7.3263546002866501E-20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1.7124687078822101E-2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7.1455032372172997E-3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3.2949339436926599E-3</v>
      </c>
      <c r="G70" s="18">
        <v>0</v>
      </c>
      <c r="H70" s="17" t="s">
        <v>99</v>
      </c>
      <c r="I70" s="17">
        <v>33</v>
      </c>
      <c r="J70" s="17">
        <f>$W$30/I70</f>
        <v>0.96969696969696972</v>
      </c>
      <c r="K70" s="18">
        <f t="shared" si="1"/>
        <v>3.1950874605504581E-3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4.0835153797166499E-4</v>
      </c>
      <c r="G71" s="22">
        <v>5.73316527813523E-85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3.0373237784491299E-4</v>
      </c>
      <c r="G72" s="22">
        <v>7.6468673657755001E-13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4.5320747187515302E-7</v>
      </c>
      <c r="G74" s="18">
        <v>3.5543101686003801E-25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4.9756665137482802E-7</v>
      </c>
      <c r="G75" s="18">
        <v>3.6238723497554302E-24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1.4841352752231199E-7</v>
      </c>
      <c r="G76" s="18">
        <v>1.40588132104923E-15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6.7708201503710304E-7</v>
      </c>
      <c r="G78" s="18">
        <v>4.8067579719689197E-21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7.5933094644395504E-5</v>
      </c>
      <c r="G79" s="18">
        <v>8.0043102076177293E-15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4.9709712416696899E-8</v>
      </c>
      <c r="G81" s="18">
        <v>3.22101509395113E-17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1.07687741677307E-3</v>
      </c>
      <c r="G83" s="18">
        <v>1.2060017818031701E-5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7.9769589024237098E-6</v>
      </c>
      <c r="G84" s="22">
        <v>2.14200407141179E-7</v>
      </c>
      <c r="H84" s="20" t="s">
        <v>174</v>
      </c>
      <c r="I84" s="20">
        <v>367</v>
      </c>
      <c r="J84" s="20">
        <f>$W$30/I84</f>
        <v>8.7193460490463212E-2</v>
      </c>
      <c r="K84" s="22">
        <f>F84*J84</f>
        <v>6.9553865089253055E-7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5.0685110985060802E-5</v>
      </c>
      <c r="G85" s="22">
        <v>2.68851885775492E-5</v>
      </c>
      <c r="H85" s="20" t="s">
        <v>275</v>
      </c>
      <c r="I85" s="20">
        <f>W27*4.89+W28*8+W26*1+W29*2.1+W30*0.067</f>
        <v>116.42400000000001</v>
      </c>
      <c r="J85" s="20">
        <f>$W$30*(0.67)/I85</f>
        <v>0.18415446986875558</v>
      </c>
      <c r="K85" s="22">
        <f t="shared" si="1"/>
        <v>9.3338897436929122E-6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3.1950238708110398E-5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1.1035184429574599E-3</v>
      </c>
      <c r="G87" s="18">
        <v>1.2065133544294201E-19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4.8869083706355601E-4</v>
      </c>
      <c r="G88" s="18">
        <v>1.3512831309024399E-7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1.25379253747089E-8</v>
      </c>
      <c r="G89" s="18">
        <v>6.5208775547597697E-13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3.4271222287454901E-4</v>
      </c>
      <c r="G90" s="18">
        <v>4.72230976033911E-8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1.1749414927152301E-7</v>
      </c>
      <c r="G91" s="18">
        <v>6.0095426460687199E-17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1.1075112588095201E-12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1.2820088833181099E-12</v>
      </c>
      <c r="G93" s="18">
        <v>1.79991211802668E-93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3.7232048952529099E-6</v>
      </c>
      <c r="G94" s="18">
        <v>2.1298254272123199E-14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3.9668793720939201E-6</v>
      </c>
      <c r="G95" s="18">
        <v>5.5694109030679797E-87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4.2600122676777301E-6</v>
      </c>
      <c r="G96" s="18">
        <v>3.75146306394646E-16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1.45216140179267E-12</v>
      </c>
      <c r="G97" s="18">
        <v>4.3956876032921897E-24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7.4687410169251601E-13</v>
      </c>
      <c r="G98" s="18">
        <v>4.9672450090574E-24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4.9682272118264697E-10</v>
      </c>
      <c r="G99" s="18">
        <v>2.7035358100628501E-12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5.4143179134576602E-14</v>
      </c>
      <c r="G100" s="18">
        <v>1.9219108874093401E-22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6.5898297152320603E-12</v>
      </c>
      <c r="G101" s="18">
        <v>6.2130795831593294E-20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1.0907638850099801E-12</v>
      </c>
      <c r="G102" s="18">
        <v>1.53140837016194E-93</v>
      </c>
      <c r="H102" s="17" t="s">
        <v>285</v>
      </c>
      <c r="I102" s="17">
        <f>I48-1</f>
        <v>148</v>
      </c>
      <c r="J102" s="17">
        <f>$W$30/I102</f>
        <v>0.21621621621621623</v>
      </c>
      <c r="K102" s="18">
        <f t="shared" si="2"/>
        <v>2.3584084000215785E-13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7.0610166102136103E-14</v>
      </c>
      <c r="G103" s="18">
        <v>9.9135111524477202E-95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8.1585228539149502E-13</v>
      </c>
      <c r="G104" s="18">
        <v>1.14543856450918E-93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8.6513410340304406E-12</v>
      </c>
      <c r="G105" s="18">
        <v>1.2146291470328999E-92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1.72649769547341E-10</v>
      </c>
      <c r="G106" s="18">
        <v>6.1285184413902696E-19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1.60664769622709E-7</v>
      </c>
      <c r="G107" s="18">
        <v>4.8633170888890698E-19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1.6130438273781899E-13</v>
      </c>
      <c r="G108" s="18">
        <v>4.8826781560371196E-25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5.1403073507462602E-11</v>
      </c>
      <c r="G109" s="18">
        <v>3.4186706936488898E-22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5.1603334422161797E-7</v>
      </c>
      <c r="G110" s="18">
        <v>2.8080733142974501E-9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1.16021907553188E-13</v>
      </c>
      <c r="G111" s="18">
        <v>6.3135071817001296E-16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1.0350059685382499E-6</v>
      </c>
      <c r="G112" s="18">
        <v>9.7583317467355798E-15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3.7371892440752497E-11</v>
      </c>
      <c r="G113" s="18">
        <v>5.24693104337944E-92</v>
      </c>
      <c r="H113" s="17" t="s">
        <v>285</v>
      </c>
      <c r="I113" s="17">
        <f>I102</f>
        <v>148</v>
      </c>
      <c r="J113" s="17">
        <f>$W$30/I113</f>
        <v>0.21621621621621623</v>
      </c>
      <c r="K113" s="18">
        <f t="shared" si="2"/>
        <v>8.0804091763789188E-12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2.6675487351226898E-7</v>
      </c>
      <c r="G114" s="18">
        <v>3.7451794260170302E-88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1.5738734898678701E-8</v>
      </c>
      <c r="G116" s="22">
        <v>2.20968357046181E-89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1.9755181355586099E-4</v>
      </c>
      <c r="G117" s="22">
        <v>2.77358376984904E-85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f>$W$30/I118</f>
        <v>1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2.7738904212107399E-15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2.0712761923676501E-14</v>
      </c>
      <c r="G120" s="18">
        <v>4.0529436639462797E-30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3.3756616807645299E-6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8.9740546033934603E-10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4.0331090122134799E-6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3.7578891062568599E-10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1.04420859879672E-2</v>
      </c>
      <c r="G127" s="18">
        <v>1.4660457779804E-83</v>
      </c>
      <c r="H127" s="17" t="s">
        <v>42</v>
      </c>
      <c r="I127" s="17">
        <f>I126+2+I123</f>
        <v>136</v>
      </c>
      <c r="J127" s="17">
        <v>0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3.1257991853090602E-4</v>
      </c>
      <c r="G128" s="18">
        <v>4.38855292296726E-85</v>
      </c>
      <c r="H128" s="17" t="s">
        <v>41</v>
      </c>
      <c r="I128" s="17">
        <f>I127+2+I124</f>
        <v>270</v>
      </c>
      <c r="J128" s="17">
        <v>0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7.2952604584913805E-5</v>
      </c>
      <c r="G132" s="22">
        <v>1.02423843346655E-85</v>
      </c>
      <c r="H132" s="17" t="s">
        <v>37</v>
      </c>
      <c r="I132" s="17">
        <f>W35+I36*2</f>
        <v>58</v>
      </c>
      <c r="J132" s="17">
        <v>0</v>
      </c>
      <c r="K132" s="18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8.8924545663183006E-3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9.5558812934831494E-5</v>
      </c>
      <c r="G136" s="18">
        <v>1.3416245988910901E-85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9.4743142659830405E-3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7.9077826701282604E-7</v>
      </c>
      <c r="G138" s="22">
        <v>1.1102351972668301E-87</v>
      </c>
      <c r="H138" s="17" t="s">
        <v>31</v>
      </c>
      <c r="I138" s="17">
        <f>I137+I36*3</f>
        <v>107</v>
      </c>
      <c r="J138" s="17">
        <v>0</v>
      </c>
      <c r="K138" s="18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f>$W$30/I139</f>
        <v>0.36363636363636365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4.72065721903538E-20</v>
      </c>
      <c r="G140" s="22">
        <v>1.87714163964647E-96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5.99270190795601E-5</v>
      </c>
      <c r="G141" s="22">
        <v>8.41362093836223E-86</v>
      </c>
      <c r="H141" s="17" t="s">
        <v>28</v>
      </c>
      <c r="I141" s="17">
        <f>W32+I36*2</f>
        <v>74</v>
      </c>
      <c r="J141" s="17">
        <v>0</v>
      </c>
      <c r="K141" s="18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8.2506216983447705E-3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2.84722354557944E-9</v>
      </c>
      <c r="G144" s="14">
        <v>2.4024430751293301E-9</v>
      </c>
      <c r="K144" s="14"/>
    </row>
    <row r="145" spans="1:13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2.9430134818814999E-2</v>
      </c>
      <c r="G145" s="14">
        <v>0</v>
      </c>
      <c r="K145" s="14"/>
    </row>
    <row r="146" spans="1:13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3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0.80742600004348697</v>
      </c>
      <c r="G147" s="14">
        <v>0.12449336976842799</v>
      </c>
      <c r="K147" s="14"/>
    </row>
    <row r="148" spans="1:13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9.5923718463851692E-6</v>
      </c>
      <c r="G148" s="14">
        <v>4.1433121612554403E-11</v>
      </c>
      <c r="K148" s="14"/>
    </row>
    <row r="149" spans="1:13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1.2330859017013601E-13</v>
      </c>
      <c r="G149" s="14">
        <v>6.6794435545069999E-21</v>
      </c>
    </row>
    <row r="150" spans="1:13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3.3061353460458298E-7</v>
      </c>
      <c r="G150" s="14">
        <v>6.7254780150147402E-18</v>
      </c>
    </row>
    <row r="151" spans="1:13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2.9697043852227998E-14</v>
      </c>
      <c r="G151" s="14">
        <v>5.7065039800697298E-15</v>
      </c>
    </row>
    <row r="152" spans="1:13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6.0067670773879902E-13</v>
      </c>
      <c r="G152" s="14">
        <v>7.3283302861446802E-14</v>
      </c>
    </row>
    <row r="153" spans="1:13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2.8739580471031999E-10</v>
      </c>
      <c r="G153" s="14">
        <v>2.8503212723258299E-12</v>
      </c>
    </row>
    <row r="154" spans="1:13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1.19525279425223E-14</v>
      </c>
      <c r="G154" s="14">
        <v>6.5320845630363505E-16</v>
      </c>
      <c r="L154" s="9"/>
      <c r="M154" s="14"/>
    </row>
    <row r="155" spans="1:13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1.2120722851416E-14</v>
      </c>
      <c r="G155" s="14">
        <v>0</v>
      </c>
      <c r="L155" s="9"/>
      <c r="M155" s="14"/>
    </row>
    <row r="156" spans="1:13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1.75726527587497E-3</v>
      </c>
      <c r="G156" s="14">
        <v>0</v>
      </c>
      <c r="L156" s="9"/>
      <c r="M156" s="14"/>
    </row>
    <row r="157" spans="1:13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3.9464065010562897E-2</v>
      </c>
      <c r="G157" s="14">
        <v>0.17743042674603399</v>
      </c>
      <c r="L157" s="9"/>
      <c r="M157" s="14"/>
    </row>
    <row r="158" spans="1:13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8.4469045645149397E-15</v>
      </c>
      <c r="G158" s="14">
        <v>0</v>
      </c>
      <c r="L158" s="9"/>
      <c r="M158" s="14"/>
    </row>
    <row r="159" spans="1:13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9.8660146751524801E-4</v>
      </c>
      <c r="G159" s="14">
        <v>0.14168325775607299</v>
      </c>
      <c r="L159" s="9"/>
      <c r="M159" s="14"/>
    </row>
    <row r="160" spans="1:13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2.5512537912662802E-4</v>
      </c>
      <c r="G160" s="14">
        <v>4.6797985709126801E-7</v>
      </c>
      <c r="L160" s="9"/>
      <c r="M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8.1723569044210099E-14</v>
      </c>
      <c r="G161" s="14">
        <v>3.0807890962203598E-20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7.9473176047053393E-12</v>
      </c>
      <c r="G163" s="14">
        <v>2.98939087921098E-18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1.09240159194405E-11</v>
      </c>
      <c r="G164" s="14">
        <v>1.62550811893524E-90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7.9401043316109795E-12</v>
      </c>
      <c r="G165" s="14">
        <v>1.1814981002780899E-90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6.4933390458430198E-11</v>
      </c>
      <c r="G166" s="14">
        <v>6.4874413634213697E-17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7.8471906278908406E-6</v>
      </c>
      <c r="G167" s="14">
        <v>7.3240378528504905E-14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7.8919915035956207E-12</v>
      </c>
      <c r="G168" s="14">
        <v>1.17433884738605E-90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8.0079054335140199E-12</v>
      </c>
      <c r="G169" s="14">
        <v>1.1915869945481899E-90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3.1903279416650498E-14</v>
      </c>
      <c r="G170" s="14">
        <v>4.7472504704186802E-93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8.1985573731452103E-6</v>
      </c>
      <c r="G171" s="14">
        <v>1.2199562571020599E-84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1.4608749646085901E-13</v>
      </c>
      <c r="G172" s="14">
        <v>2.1738014053005199E-92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3.1528272788342902E-14</v>
      </c>
      <c r="G173" s="14">
        <v>4.6914489846405599E-93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1.5034690737528899E-13</v>
      </c>
      <c r="G174" s="14">
        <v>9.1136891428302395E-20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3.9699399905396399E-11</v>
      </c>
      <c r="G175" s="14">
        <v>5.9073235831007603E-90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2.9278691039668701E-5</v>
      </c>
      <c r="G176" s="14">
        <v>2.7320044436186898E-13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5.50474566482606E-6</v>
      </c>
      <c r="G177" s="14">
        <v>8.19113486911381E-85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1.7931216914249401E-13</v>
      </c>
      <c r="G178" s="14">
        <v>1.6735787067649501E-21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1.14219301569712E-7</v>
      </c>
      <c r="G179" s="14">
        <v>1.6345929959634799E-3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1.0030448024571301E-3</v>
      </c>
      <c r="G180" s="14">
        <v>0.54846092419792603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3.7594772675054602E-10</v>
      </c>
      <c r="G183" s="14">
        <v>1.15327576379417E-8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1.8590891428459499E-10</v>
      </c>
      <c r="G185" s="14">
        <v>8.8551114676153195E-9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1.1652991467694001E-12</v>
      </c>
      <c r="G187" s="14">
        <v>1.1724819687119001E-17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2.5857964186742199E-2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1.0789579158659E-2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4.9752899729801504E-3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6.1660335139967701E-4</v>
      </c>
      <c r="G191" s="14">
        <v>9.1751399966303806E-83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4.5863033365325901E-4</v>
      </c>
      <c r="G192" s="14">
        <v>1.22377561456723E-10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6.8433499093857798E-7</v>
      </c>
      <c r="G194" s="14">
        <v>5.6881830204209003E-23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7.5131654041602201E-7</v>
      </c>
      <c r="G195" s="14">
        <v>5.7995076935473902E-22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2.24101711280087E-7</v>
      </c>
      <c r="G196" s="14">
        <v>2.2499190784658399E-13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1.0223814552482299E-6</v>
      </c>
      <c r="G198" s="14">
        <v>7.6925529237627105E-19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1.14657583689894E-4</v>
      </c>
      <c r="G199" s="14">
        <v>1.2809794096017701E-12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7.5060756292232403E-8</v>
      </c>
      <c r="G201" s="14">
        <v>5.1547902396900197E-15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1.6260651974695801E-3</v>
      </c>
      <c r="G203" s="14">
        <v>1.9300394541963901E-3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1.2045062001341701E-5</v>
      </c>
      <c r="G204" s="14">
        <v>3.4279819741997401E-5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7.6533590285196001E-5</v>
      </c>
      <c r="G205" s="14">
        <v>4.3026034845982299E-3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4.8244275908194398E-5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1.6662926596008999E-3</v>
      </c>
      <c r="G207" s="14">
        <v>1.9308581556006901E-17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7.3791422319220105E-4</v>
      </c>
      <c r="G208" s="14">
        <v>2.1625422082978198E-5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1.89320379299783E-8</v>
      </c>
      <c r="G209" s="14">
        <v>1.04357648111038E-10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5.1748918649779398E-4</v>
      </c>
      <c r="G210" s="14">
        <v>7.5574052127550398E-6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1.7741401580248701E-7</v>
      </c>
      <c r="G211" s="14">
        <v>9.6174438409589098E-15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1.6723217384875099E-12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1.93580995899899E-12</v>
      </c>
      <c r="G213" s="14">
        <v>2.8805110027977102E-91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5.6219712744657804E-6</v>
      </c>
      <c r="G214" s="14">
        <v>3.4084917345017101E-12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5.9899152763839397E-6</v>
      </c>
      <c r="G215" s="14">
        <v>8.9130737132750605E-85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6.4325405857442599E-6</v>
      </c>
      <c r="G216" s="14">
        <v>6.0036990273359503E-14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2.1927371488943501E-12</v>
      </c>
      <c r="G217" s="14">
        <v>7.0346915159537597E-22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1.1277662292267001E-12</v>
      </c>
      <c r="G218" s="14">
        <v>7.9493902834925799E-22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7.5019321943629797E-10</v>
      </c>
      <c r="G219" s="14">
        <v>4.3266360448095002E-10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8.1755209924370303E-14</v>
      </c>
      <c r="G220" s="14">
        <v>3.07575320046668E-20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9.9505223067072501E-12</v>
      </c>
      <c r="G221" s="14">
        <v>9.9431766258506606E-18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1.6470335104494101E-12</v>
      </c>
      <c r="G222" s="14">
        <v>2.45080780102987E-91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1.06620058975965E-13</v>
      </c>
      <c r="G223" s="14">
        <v>1.5865206787035E-92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1.2319220246315999E-12</v>
      </c>
      <c r="G224" s="14">
        <v>1.83311638110133E-91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1.3063366682005399E-11</v>
      </c>
      <c r="G225" s="14">
        <v>1.9438463618895399E-90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2.6069799332715899E-10</v>
      </c>
      <c r="G226" s="14">
        <v>9.8078481857366097E-17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2.42600862710828E-7</v>
      </c>
      <c r="G227" s="14">
        <v>7.7830679866734597E-17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2.4356666681269301E-13</v>
      </c>
      <c r="G228" s="14">
        <v>7.8140527033089699E-23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7.7617700558641302E-11</v>
      </c>
      <c r="G229" s="14">
        <v>5.4711107555595194E-20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7.7920090875991995E-7</v>
      </c>
      <c r="G230" s="14">
        <v>4.4939338968195802E-7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1.7519095774299101E-13</v>
      </c>
      <c r="G231" s="14">
        <v>1.01038971408603E-13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1.56284007668813E-6</v>
      </c>
      <c r="G232" s="14">
        <v>1.5616863559004799E-12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5.6430873853388602E-11</v>
      </c>
      <c r="G233" s="14">
        <v>8.3969891918641495E-90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4.0279497862764202E-7</v>
      </c>
      <c r="G234" s="14">
        <v>5.99364293181216E-86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2.37652017512169E-8</v>
      </c>
      <c r="G236" s="14">
        <v>3.5362936743793901E-87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2.9829962418821698E-4</v>
      </c>
      <c r="G237" s="14">
        <v>4.4387381396100398E-83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4.18852378671018E-15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3.1275891557358902E-14</v>
      </c>
      <c r="G240" s="14">
        <v>6.4861771309789396E-28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5.0971873790158304E-6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1.35506582675833E-9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6.0899208212695097E-6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5.6743437985216902E-10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1.57673588001301E-2</v>
      </c>
      <c r="G247" s="14">
        <v>2.3462039906189801E-81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4.7198995822018503E-4</v>
      </c>
      <c r="G248" s="14">
        <v>7.0232734444981705E-83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1.10157098229209E-4</v>
      </c>
      <c r="G252" s="14">
        <v>1.6391522939038101E-83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1.3427443704501701E-2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1.44292059248912E-4</v>
      </c>
      <c r="G256" s="14">
        <v>2.14708506044547E-83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1.4306041205664E-2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1.19406071561795E-6</v>
      </c>
      <c r="G258" s="14">
        <v>1.7767782489994801E-85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7.1281060346300597E-20</v>
      </c>
      <c r="G260" s="14">
        <v>3.0041061964399898E-94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9.0488702423873602E-5</v>
      </c>
      <c r="G261" s="14">
        <v>1.34648394461014E-83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1.24582878164237E-2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4.2992554628511496E-9</v>
      </c>
      <c r="G264" s="14">
        <v>3.8447786656896198E-7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4.4438965141561003E-2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0.37748719799806701</v>
      </c>
      <c r="G266" s="14">
        <v>3.1353094658635402E-3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0.231197590148464</v>
      </c>
      <c r="G267" s="14">
        <v>3.3634133460599302E-4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1.4041072894267099E-5</v>
      </c>
      <c r="G268" s="14">
        <v>5.7223628249191795E-13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5.5359204852425096E-13</v>
      </c>
      <c r="G269" s="14">
        <v>2.82937324894556E-22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9.4670128287541E-7</v>
      </c>
      <c r="G270" s="14">
        <v>1.81705863572008E-19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2.8345511773170901E-14</v>
      </c>
      <c r="G271" s="14">
        <v>5.13918976644118E-17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7.0725827726578095E-13</v>
      </c>
      <c r="G272" s="14">
        <v>8.1413369491182705E-16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4.0246400324380201E-10</v>
      </c>
      <c r="G273" s="14">
        <v>3.7661176278686897E-14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1.9402882931992601E-14</v>
      </c>
      <c r="G274" s="14">
        <v>1.00048767240408E-17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1.9264958478615E-16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4.75021511984475E-4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1.06824360842003E-2</v>
      </c>
      <c r="G277" s="14">
        <v>4.5315839498988401E-4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2.4217960392803801E-15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6.9012968511976804E-4</v>
      </c>
      <c r="G279" s="14">
        <v>9.3510619294161397E-4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4.5868836018259101E-4</v>
      </c>
      <c r="G280" s="14">
        <v>7.9386136133530295E-9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2.2627798972487401E-13</v>
      </c>
      <c r="G281" s="14">
        <v>8.0484157650095597E-22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1.8466140190635899E-11</v>
      </c>
      <c r="G283" s="14">
        <v>6.5537777822149794E-20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3.14600329966718E-11</v>
      </c>
      <c r="G284" s="14">
        <v>4.4169190526722798E-92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2.57740247142244E-11</v>
      </c>
      <c r="G285" s="14">
        <v>3.6186160655440898E-92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1.7048898770033101E-10</v>
      </c>
      <c r="G286" s="14">
        <v>1.6071453106518499E-18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1.49859891613476E-5</v>
      </c>
      <c r="G287" s="14">
        <v>1.31970006851986E-15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1.8716963304521401E-11</v>
      </c>
      <c r="G288" s="14">
        <v>2.6278202517033201E-92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1.51615860584769E-11</v>
      </c>
      <c r="G289" s="14">
        <v>2.1286531497758301E-92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5.3290626075245902E-14</v>
      </c>
      <c r="G290" s="14">
        <v>7.4818860382469701E-95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1.7093353528123101E-5</v>
      </c>
      <c r="G291" s="14">
        <v>2.3998690300298499E-86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3.0458105120095301E-13</v>
      </c>
      <c r="G292" s="14">
        <v>4.2762505947618199E-94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5.8704875258204604E-14</v>
      </c>
      <c r="G293" s="14">
        <v>8.2420346488557099E-95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3.5159092100224301E-13</v>
      </c>
      <c r="G294" s="14">
        <v>2.0109015633668398E-21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8.3987440104382304E-11</v>
      </c>
      <c r="G295" s="14">
        <v>1.17916508358864E-91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3.4933464749732499E-5</v>
      </c>
      <c r="G296" s="14">
        <v>3.0755646033827998E-15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7.7951747784558301E-6</v>
      </c>
      <c r="G297" s="14">
        <v>1.0944252983305699E-86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3.28129570220565E-13</v>
      </c>
      <c r="G298" s="14">
        <v>2.8895831409004701E-23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3.6596852257029401E-9</v>
      </c>
      <c r="G299" s="14">
        <v>4.94159687822605E-7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2.5576374048396098E-4</v>
      </c>
      <c r="G300" s="14">
        <v>1.3195254828317199E-3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2.0365288299842399E-10</v>
      </c>
      <c r="G303" s="14">
        <v>5.8945371955615199E-11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2.3081639135477901E-10</v>
      </c>
      <c r="G305" s="14">
        <v>1.0373227732486201E-10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1.1487997118921799E-12</v>
      </c>
      <c r="G307" s="14">
        <v>1.0906025524587599E-19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2.5077586294672199E-2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1.02911023887077E-2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2.6154347413837099E-3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1.58906655785874E-3</v>
      </c>
      <c r="G311" s="14">
        <v>2.2310143018963702E-84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9.6307063870185096E-4</v>
      </c>
      <c r="G312" s="14">
        <v>2.4246586716501099E-12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9.6307064112651201E-6</v>
      </c>
      <c r="G314" s="14">
        <v>7.5529464654974101E-24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9.6307064112651201E-6</v>
      </c>
      <c r="G315" s="14">
        <v>7.0142262500838097E-23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9.1236907356076904E-7</v>
      </c>
      <c r="G316" s="14">
        <v>8.6426261799434107E-15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9.6307064112650405E-6</v>
      </c>
      <c r="G318" s="14">
        <v>6.8370557465632301E-20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2.7359860332709499E-4</v>
      </c>
      <c r="G319" s="14">
        <v>2.8840759140094599E-14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3.3458718220343003E-7</v>
      </c>
      <c r="G321" s="14">
        <v>2.1680076422205099E-16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1.1906570109219701E-3</v>
      </c>
      <c r="G323" s="14">
        <v>1.33342426382308E-5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7.0341461758284397E-5</v>
      </c>
      <c r="G324" s="14">
        <v>1.8888363262034801E-6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1.41587722190281E-4</v>
      </c>
      <c r="G325" s="14">
        <v>7.5103172063159797E-5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4.5275752882312201E-5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2.64844426309791E-3</v>
      </c>
      <c r="G327" s="14">
        <v>2.8956320506306202E-19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8.5702494001175199E-4</v>
      </c>
      <c r="G328" s="14">
        <v>2.3697668471937101E-7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3.0429623121072802E-8</v>
      </c>
      <c r="G329" s="14">
        <v>1.58262105156779E-12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7.1639230604573405E-4</v>
      </c>
      <c r="G330" s="14">
        <v>9.8713327196094004E-8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7.9649753767762199E-7</v>
      </c>
      <c r="G331" s="14">
        <v>4.0738929979405901E-16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2.7666374606618699E-12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3.57341843491278E-12</v>
      </c>
      <c r="G333" s="14">
        <v>5.0170004494294097E-93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1.30570883438485E-5</v>
      </c>
      <c r="G334" s="14">
        <v>7.4691883853996699E-14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1.2392545756537501E-5</v>
      </c>
      <c r="G335" s="14">
        <v>1.7398860156616501E-86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1.16680774952925E-5</v>
      </c>
      <c r="G336" s="14">
        <v>1.02751726991426E-15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6.2797269982580504E-12</v>
      </c>
      <c r="G337" s="14">
        <v>1.9008712174986801E-23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3.64272523218951E-12</v>
      </c>
      <c r="G338" s="14">
        <v>2.4226718650381201E-23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2.0651328302105802E-9</v>
      </c>
      <c r="G339" s="14">
        <v>1.12377319332749E-11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1.88654111076637E-13</v>
      </c>
      <c r="G340" s="14">
        <v>6.6966217320100805E-22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2.5966660957821001E-11</v>
      </c>
      <c r="G341" s="14">
        <v>2.4482109251919701E-19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3.8797844855029598E-12</v>
      </c>
      <c r="G342" s="14">
        <v>5.4471316085692504E-93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2.0015857006396601E-13</v>
      </c>
      <c r="G343" s="14">
        <v>2.8101820546872898E-94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2.5864993721767001E-12</v>
      </c>
      <c r="G344" s="14">
        <v>3.63138791300721E-93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2.7636657717271199E-11</v>
      </c>
      <c r="G345" s="14">
        <v>3.88012561959204E-92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6.05749755030118E-10</v>
      </c>
      <c r="G346" s="14">
        <v>2.1502192295436401E-18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6.9866532621225204E-7</v>
      </c>
      <c r="G347" s="14">
        <v>2.1148575561160401E-18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7.0144674186900799E-13</v>
      </c>
      <c r="G348" s="14">
        <v>2.1232768918089801E-24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2.5195141636807799E-10</v>
      </c>
      <c r="G349" s="14">
        <v>1.6756564629074699E-21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2.1574683691385001E-6</v>
      </c>
      <c r="G350" s="14">
        <v>1.17401897021926E-8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4.8507252191365102E-13</v>
      </c>
      <c r="G351" s="14">
        <v>2.6395953275835299E-15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4.1033899620972997E-6</v>
      </c>
      <c r="G352" s="14">
        <v>3.86879320057664E-14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1.33833721776657E-10</v>
      </c>
      <c r="G353" s="14">
        <v>1.8789958537802299E-91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7.6262273363353903E-7</v>
      </c>
      <c r="G354" s="14">
        <v>1.07070545111741E-87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1.9306683436430901E-8</v>
      </c>
      <c r="G356" s="14">
        <v>2.7106156539411599E-89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3.7482204129166298E-4</v>
      </c>
      <c r="G357" s="14">
        <v>5.2624185604567005E-85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3.9965971305559703E-15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4.8714019992187598E-14</v>
      </c>
      <c r="G360" s="14">
        <v>9.5320546530786205E-30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7.8575511889209208E-6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2.0672000410933101E-9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9.1928760611529707E-6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3.5262002112996998E-10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3.4104405849574901E-2</v>
      </c>
      <c r="G367" s="14">
        <v>4.7881831526683802E-83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1.30665332716913E-3</v>
      </c>
      <c r="G368" s="14">
        <v>1.83451237213309E-84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1.0210974130940899E-4</v>
      </c>
      <c r="G372" s="14">
        <v>1.4335981844033001E-85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5.1869118368242399E-3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2.0608981125911301E-4</v>
      </c>
      <c r="G376" s="14">
        <v>2.8934553692563099E-85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1.26984385695999E-2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2.0282327623910098E-6</v>
      </c>
      <c r="G378" s="14">
        <v>2.8475939400339201E-87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1.3126017765600199E-19</v>
      </c>
      <c r="G380" s="14">
        <v>5.2194839335490201E-96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1.0656368275237801E-4</v>
      </c>
      <c r="G381" s="14">
        <v>1.49613053718569E-85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7.9358241778174597E-3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2.4914782246774902E-9</v>
      </c>
      <c r="G384" s="14">
        <v>2.1022706899867998E-9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2.5041454254363701E-2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2.3330739725521899E-2</v>
      </c>
      <c r="G387" s="14">
        <v>0.16817686465678999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/>
      <c r="G388" s="14"/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/>
      <c r="G389" s="14">
        <v>-135213309.170486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/>
      <c r="G390" s="14">
        <v>-6467434.3985699899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/>
      <c r="G391" s="14">
        <v>-56359.758347601201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/>
      <c r="G392" s="14">
        <v>-2695.7630285697501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/>
      <c r="G393" s="14">
        <v>3.7154849870865099E-2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/>
      <c r="G394" s="14">
        <v>0.77678873772312296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/>
      <c r="G395" s="14">
        <v>-0.23469222557509101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/>
      <c r="G396" s="14">
        <v>20.9067925297214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/>
      <c r="G397" s="14">
        <v>6.2485861580758304E-6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/>
      <c r="G398" s="14"/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/>
      <c r="G399" s="14">
        <v>3.1353094658635402E-3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/>
      <c r="G400" s="14"/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/>
      <c r="G401" s="14"/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-45941569.250403002</v>
      </c>
      <c r="G402" s="14"/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-1934386.0620957599</v>
      </c>
      <c r="G403" s="14"/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1.0648184860988899E+38</v>
      </c>
      <c r="G404" s="14"/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4.4834559893783702E+36</v>
      </c>
      <c r="G405" s="14"/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28.385712902848699</v>
      </c>
      <c r="G406" s="14"/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674.159218059816</v>
      </c>
      <c r="G407" s="14"/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-8.4514580373844002</v>
      </c>
      <c r="G408" s="14"/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23.749948446500301</v>
      </c>
      <c r="G409" s="14"/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6.6225967965421496E-4</v>
      </c>
      <c r="G410" s="14"/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/>
      <c r="G411" s="14"/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0.37748719799806602</v>
      </c>
      <c r="G412" s="14"/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3.3105905615747301E-14</v>
      </c>
      <c r="G413" s="14">
        <v>2.8431766034866701E-93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1.13430455901719E-3</v>
      </c>
      <c r="G414" s="14">
        <v>3.9684504741835298E-10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1.8177661739485701E-12</v>
      </c>
      <c r="G415" s="14">
        <v>1.5611203379743001E-91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1.1705998586745001E-4</v>
      </c>
      <c r="G416" s="14">
        <v>6.3041971587055298E-13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2.6121172235562499E-5</v>
      </c>
      <c r="G417" s="14">
        <v>2.2433189600006202E-84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1.0943278500290901E-3</v>
      </c>
      <c r="G418" s="14">
        <v>5.8948859119493701E-12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5.1344354971755998E-9</v>
      </c>
      <c r="G419" s="14">
        <v>4.2408646391583099E-5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3.9465486280729098E-4</v>
      </c>
      <c r="G420" s="14">
        <v>0.124547321681294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6.5338911742507295E-10</v>
      </c>
      <c r="G423" s="14">
        <v>1.12682473137065E-8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2.6866338028165902E-10</v>
      </c>
      <c r="G425" s="14">
        <v>2.17366541213164E-8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4.5559237352763201E-10</v>
      </c>
      <c r="G427" s="14">
        <v>2.6456766513843502E-15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1.0272874860295299E-8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4.8617237782534197E-18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1.86256181176928E-3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5.3248685797681501E-3</v>
      </c>
      <c r="G431" s="14">
        <v>4.5730637724759297E-82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3.2271930591578498E-3</v>
      </c>
      <c r="G432" s="14">
        <v>4.9699903035329097E-10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3.2271930786473602E-5</v>
      </c>
      <c r="G434" s="14">
        <v>1.54817959606947E-21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3.2271930786473602E-5</v>
      </c>
      <c r="G435" s="14">
        <v>1.4377543932293001E-20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3.0572950670682301E-6</v>
      </c>
      <c r="G436" s="14">
        <v>1.7715387487623199E-12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3.2271930786473101E-5</v>
      </c>
      <c r="G438" s="14">
        <v>1.40143853162099E-17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9.1681282883029002E-4</v>
      </c>
      <c r="G439" s="14">
        <v>5.9116895682014397E-12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1.1211819689253199E-6</v>
      </c>
      <c r="G441" s="14">
        <v>4.4439149782128703E-14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3.8872865551012E-3</v>
      </c>
      <c r="G443" s="14">
        <v>3.75416636483793E-3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2.2406846786186699E-4</v>
      </c>
      <c r="G444" s="14">
        <v>4.5827603392118203E-4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6.72901608047943E-5</v>
      </c>
      <c r="G445" s="14">
        <v>1.6800678483940401E-2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1.35384557288748E-4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8.8747809662802404E-3</v>
      </c>
      <c r="G447" s="14">
        <v>3.4531924758977399E-16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2.3591532872843002E-3</v>
      </c>
      <c r="G448" s="14">
        <v>3.9903082555193598E-5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2.5532025808686499E-5</v>
      </c>
      <c r="G449" s="14">
        <v>8.1227627176862003E-8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1.27168275238469E-3</v>
      </c>
      <c r="G450" s="14">
        <v>1.0718691852724101E-5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2.32705877611384E-4</v>
      </c>
      <c r="G451" s="14">
        <v>7.2806584912066195E-12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6.0455868576007203E-6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0</v>
      </c>
      <c r="G453" s="14">
        <v>0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1.9242714330997299E-8</v>
      </c>
      <c r="G454" s="14">
        <v>6.7333552838133996E-15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2.09143327860671E-8</v>
      </c>
      <c r="G455" s="14">
        <v>1.7961490721642101E-87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1.8621515954006701E-8</v>
      </c>
      <c r="G456" s="14">
        <v>1.0030971253587E-16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2.21037291701634E-12</v>
      </c>
      <c r="G457" s="14">
        <v>4.09275369137325E-22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1.0858597927698599E-19</v>
      </c>
      <c r="G458" s="14">
        <v>8.1725051622040199E-24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2.0563427570920199E-14</v>
      </c>
      <c r="G459" s="14">
        <v>6.8448559107881798E-15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1.6531809277000901E-16</v>
      </c>
      <c r="G460" s="14">
        <v>3.11616194459981E-21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8.0110039769897607E-12</v>
      </c>
      <c r="G461" s="14">
        <v>4.6201683299383601E-18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6.4819126130371101E-20</v>
      </c>
      <c r="G462" s="14">
        <v>1.2581867196825E-93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2.63962551697768E-20</v>
      </c>
      <c r="G463" s="14">
        <v>1.0027096660297901E-93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1.8325529137694001E-17</v>
      </c>
      <c r="G464" s="14">
        <v>1.1214220412450801E-93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4.0125650111857599E-12</v>
      </c>
      <c r="G465" s="14">
        <v>3.4460410454218202E-91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5.98908540879225E-8</v>
      </c>
      <c r="G466" s="14">
        <v>1.30043343829915E-14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1.7746731968395102E-5</v>
      </c>
      <c r="G467" s="14">
        <v>3.2860067282901701E-15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2.4431136541567698E-13</v>
      </c>
      <c r="G468" s="14">
        <v>4.5236993040937499E-23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2.0188199959213E-14</v>
      </c>
      <c r="G469" s="14">
        <v>8.2130394094334207E-24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2.8452233269134098E-6</v>
      </c>
      <c r="G470" s="14">
        <v>9.4707672831140803E-7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2.1701071511974999E-16</v>
      </c>
      <c r="G471" s="14">
        <v>1.3443508895770101E-16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1.57817217817897E-4</v>
      </c>
      <c r="G472" s="14">
        <v>9.10175695550229E-11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1.47499431332135E-14</v>
      </c>
      <c r="G473" s="14">
        <v>1.2667435745712899E-93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1.1775172162305801E-14</v>
      </c>
      <c r="G474" s="14">
        <v>1.01126652091858E-93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6.2355648886693895E-4</v>
      </c>
      <c r="G476" s="14">
        <v>5.3551811591448599E-83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0</v>
      </c>
      <c r="G477" s="14">
        <v>0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5.0514048208691598E-3</v>
      </c>
      <c r="G480" s="14">
        <v>6.0462048233456506E-17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2.5315961139437199E-2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5.6263175447404801E-9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1.4591518361862499E-20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1.14252500956419E-2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1.82905597446954E-17</v>
      </c>
      <c r="G487" s="14">
        <v>1.1552912060665199E-93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5.83517313649729E-3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1.8088640305756298E-2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6.7964887030693502E-6</v>
      </c>
      <c r="G498" s="14">
        <v>5.8369095504328201E-85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1.13870257085053E-2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7.0539018949021396E-10</v>
      </c>
      <c r="G504" s="14">
        <v>3.6408189427892003E-8</v>
      </c>
      <c r="K504" s="14"/>
    </row>
    <row r="505" spans="1:11" x14ac:dyDescent="0.25">
      <c r="A505" s="9" t="s">
        <v>332</v>
      </c>
      <c r="C505" s="9">
        <v>4.6782964533549602</v>
      </c>
      <c r="F505" s="14">
        <v>9.1844958902213697E-2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1.7630014641930699E-2</v>
      </c>
      <c r="G506" s="14">
        <v>0.392292801859561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-286688549.99792498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-8569763.4112334307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-17224.1206342603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-514.86757599221596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3.7154849870865099E-2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1.2429596388747699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-1.1607366502840599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33.453496466673499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1.4575580158513E-5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1.1702498863980801E-2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-226447728.206541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-10926850.258262901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7.7860846296385702E+37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3.7570428071870299E+36</v>
      </c>
      <c r="K524" s="14"/>
    </row>
    <row r="525" spans="1:11" x14ac:dyDescent="0.25">
      <c r="A525" s="9" t="s">
        <v>13</v>
      </c>
      <c r="B525" s="9" t="s">
        <v>12</v>
      </c>
      <c r="F525" s="9">
        <v>34.032691980822896</v>
      </c>
      <c r="K525" s="14"/>
    </row>
    <row r="526" spans="1:11" x14ac:dyDescent="0.25">
      <c r="A526" s="9" t="s">
        <v>11</v>
      </c>
      <c r="B526" s="9" t="s">
        <v>10</v>
      </c>
      <c r="F526" s="9">
        <v>705.29252269953702</v>
      </c>
    </row>
    <row r="527" spans="1:11" x14ac:dyDescent="0.25">
      <c r="A527" s="9" t="s">
        <v>9</v>
      </c>
      <c r="B527" s="9" t="s">
        <v>8</v>
      </c>
      <c r="F527" s="9">
        <v>-37.741090391230699</v>
      </c>
    </row>
    <row r="528" spans="1:11" x14ac:dyDescent="0.25">
      <c r="A528" s="9" t="s">
        <v>7</v>
      </c>
      <c r="F528" s="9">
        <v>20.723971030471599</v>
      </c>
    </row>
    <row r="529" spans="1:6" x14ac:dyDescent="0.25">
      <c r="A529" s="9" t="s">
        <v>6</v>
      </c>
      <c r="B529" s="9" t="s">
        <v>5</v>
      </c>
      <c r="F529" s="9">
        <v>5.9999685792610905E-4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0.298423620048831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Liquid Stream As Input</vt:lpstr>
      <vt:lpstr>Organic Nitrogen</vt:lpstr>
      <vt:lpstr>Soluble Nitrogen</vt:lpstr>
      <vt:lpstr>Soluble Carbon</vt:lpstr>
      <vt:lpstr>Soluble K</vt:lpstr>
      <vt:lpstr>Soluble P</vt:lpstr>
      <vt:lpstr>Soluble Mg</vt:lpstr>
      <vt:lpstr>Soluble Ca</vt:lpstr>
      <vt:lpstr>Soluble S</vt:lpstr>
    </vt:vector>
  </TitlesOfParts>
  <Company>Lancaster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Ali, Abdikhani</dc:creator>
  <cp:lastModifiedBy>User</cp:lastModifiedBy>
  <dcterms:created xsi:type="dcterms:W3CDTF">2019-04-04T13:15:33Z</dcterms:created>
  <dcterms:modified xsi:type="dcterms:W3CDTF">2019-05-21T18:45:06Z</dcterms:modified>
</cp:coreProperties>
</file>